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10"/>
            <color indexed="10"/>
            <rFont val="Tahoma"/>
            <family val="2"/>
          </rPr>
          <t xml:space="preserve">Vedi nella cartella NOTE
</t>
        </r>
        <r>
          <rPr>
            <sz val="10"/>
            <color indexed="10"/>
            <rFont val="Tahoma"/>
            <family val="2"/>
          </rPr>
          <t xml:space="preserve">al paragrafo "CASSA REFLEX".
</t>
        </r>
        <r>
          <rPr>
            <sz val="10"/>
            <color indexed="8"/>
            <rFont val="Tahoma"/>
            <family val="2"/>
          </rPr>
          <t>E qui di lato il grafico.</t>
        </r>
      </text>
    </comment>
  </commentList>
</comments>
</file>

<file path=xl/sharedStrings.xml><?xml version="1.0" encoding="utf-8"?>
<sst xmlns="http://schemas.openxmlformats.org/spreadsheetml/2006/main" count="118" uniqueCount="101">
  <si>
    <t>( CASSA REFLEX )</t>
  </si>
  <si>
    <t>inserire i dati in queste caselle</t>
  </si>
  <si>
    <t>Programma Win ISD di calcolo</t>
  </si>
  <si>
    <t>pag 1 / 2</t>
  </si>
  <si>
    <t>CASSE  ACUSTICHE BASS  REFLEX</t>
  </si>
  <si>
    <r>
      <t xml:space="preserve">  </t>
    </r>
    <r>
      <rPr>
        <sz val="10"/>
        <rFont val="Arial"/>
        <family val="2"/>
      </rPr>
      <t xml:space="preserve">Con FATTORE per Perdite del Box  QL = 5                </t>
    </r>
    <r>
      <rPr>
        <i/>
        <sz val="10"/>
        <rFont val="Arial"/>
        <family val="2"/>
      </rPr>
      <t xml:space="preserve">  Partendo dal WOOFER impiegato si calcolano:</t>
    </r>
  </si>
  <si>
    <t xml:space="preserve"> Modello WOOFER:</t>
  </si>
  <si>
    <t>subvoofer considerato singola bobina</t>
  </si>
  <si>
    <t>EPB  =</t>
  </si>
  <si>
    <t xml:space="preserve"> NOTE :</t>
  </si>
  <si>
    <t xml:space="preserve">SUBWOOFER doppia bobina  4+4 Ohm.   Calcolo eseguito considerando una sola Bobina. </t>
  </si>
  <si>
    <r>
      <t>Calcolo  QT.</t>
    </r>
    <r>
      <rPr>
        <b/>
        <sz val="10"/>
        <rFont val="Arial"/>
        <family val="2"/>
      </rPr>
      <t xml:space="preserve"> fattore di merito TOTALE del trasduttore considerando RE più RG</t>
    </r>
  </si>
  <si>
    <t>dati</t>
  </si>
  <si>
    <t>risultati</t>
  </si>
  <si>
    <r>
      <t>Qes</t>
    </r>
    <r>
      <rPr>
        <sz val="10"/>
        <rFont val="Arial"/>
        <family val="2"/>
      </rPr>
      <t xml:space="preserve"> - fattore di merito elettrico trasduttore</t>
    </r>
  </si>
  <si>
    <t>sui cataloghi</t>
  </si>
  <si>
    <r>
      <t>Re</t>
    </r>
    <r>
      <rPr>
        <sz val="10"/>
        <rFont val="Arial"/>
        <family val="2"/>
      </rPr>
      <t xml:space="preserve"> - resistenza bobina trasduttore - Ohm =</t>
    </r>
  </si>
  <si>
    <t>QE =</t>
  </si>
  <si>
    <r>
      <t>Rg</t>
    </r>
    <r>
      <rPr>
        <sz val="10"/>
        <rFont val="Arial"/>
        <family val="2"/>
      </rPr>
      <t xml:space="preserve"> -resistenze varie, cavi-filtro ecc.:Ohm =</t>
    </r>
  </si>
  <si>
    <t>da misurare</t>
  </si>
  <si>
    <r>
      <t>Qms</t>
    </r>
    <r>
      <rPr>
        <sz val="10"/>
        <rFont val="Arial"/>
        <family val="2"/>
      </rPr>
      <t xml:space="preserve"> - fattore di merito meccanico trasd.</t>
    </r>
  </si>
  <si>
    <r>
      <t>Qt</t>
    </r>
    <r>
      <rPr>
        <sz val="10"/>
        <rFont val="Arial"/>
        <family val="2"/>
      </rPr>
      <t xml:space="preserve">- fattore di merito </t>
    </r>
    <r>
      <rPr>
        <sz val="8"/>
        <rFont val="Arial"/>
        <family val="2"/>
      </rPr>
      <t>TOTALE</t>
    </r>
    <r>
      <rPr>
        <sz val="10"/>
        <rFont val="Arial"/>
        <family val="2"/>
      </rPr>
      <t xml:space="preserve"> del trasduttore </t>
    </r>
    <r>
      <rPr>
        <sz val="8"/>
        <rFont val="Arial"/>
        <family val="2"/>
      </rPr>
      <t>considerando RE + RG</t>
    </r>
  </si>
  <si>
    <r>
      <t>Qts</t>
    </r>
    <r>
      <rPr>
        <sz val="10"/>
        <rFont val="Arial"/>
        <family val="2"/>
      </rPr>
      <t xml:space="preserve"> - fattore di merito del trasduttore</t>
    </r>
  </si>
  <si>
    <r>
      <t>(non serve per il calcolo)</t>
    </r>
    <r>
      <rPr>
        <i/>
        <sz val="8"/>
        <color indexed="18"/>
        <rFont val="Arial Narrow"/>
        <family val="2"/>
      </rPr>
      <t xml:space="preserve">, è inferiore a </t>
    </r>
    <r>
      <rPr>
        <b/>
        <i/>
        <sz val="8"/>
        <color indexed="18"/>
        <rFont val="Arial Narrow"/>
        <family val="2"/>
      </rPr>
      <t>Qt</t>
    </r>
    <r>
      <rPr>
        <i/>
        <sz val="8"/>
        <color indexed="18"/>
        <rFont val="Arial Narrow"/>
        <family val="2"/>
      </rPr>
      <t xml:space="preserve">.se esiste </t>
    </r>
    <r>
      <rPr>
        <b/>
        <i/>
        <sz val="8"/>
        <color indexed="18"/>
        <rFont val="Arial Narrow"/>
        <family val="2"/>
      </rPr>
      <t>Rg</t>
    </r>
    <r>
      <rPr>
        <i/>
        <sz val="8"/>
        <color indexed="18"/>
        <rFont val="Arial Narrow"/>
        <family val="2"/>
      </rPr>
      <t xml:space="preserve">. Altrimenti è </t>
    </r>
    <r>
      <rPr>
        <b/>
        <i/>
        <sz val="8"/>
        <color indexed="18"/>
        <rFont val="Arial Narrow"/>
        <family val="2"/>
      </rPr>
      <t>=</t>
    </r>
    <r>
      <rPr>
        <i/>
        <sz val="8"/>
        <color indexed="18"/>
        <rFont val="Arial Narrow"/>
        <family val="2"/>
      </rPr>
      <t>.</t>
    </r>
  </si>
  <si>
    <r>
      <t xml:space="preserve">Calcolo di   Vb.  VOLUME INTERNO della CASSA </t>
    </r>
    <r>
      <rPr>
        <sz val="10"/>
        <rFont val="Arial"/>
        <family val="2"/>
      </rPr>
      <t>con ALLINEAMENTO …</t>
    </r>
    <r>
      <rPr>
        <b/>
        <sz val="12"/>
        <rFont val="Arial"/>
        <family val="2"/>
      </rPr>
      <t>S</t>
    </r>
    <r>
      <rPr>
        <sz val="10"/>
        <rFont val="Arial"/>
        <family val="2"/>
      </rPr>
      <t xml:space="preserve"> = ….</t>
    </r>
  </si>
  <si>
    <t>QB3 n3 =</t>
  </si>
  <si>
    <r>
      <t>Qt</t>
    </r>
    <r>
      <rPr>
        <sz val="10"/>
        <rFont val="Arial"/>
        <family val="2"/>
      </rPr>
      <t xml:space="preserve"> - fattore di merito trasduttore</t>
    </r>
  </si>
  <si>
    <t>preso sopra</t>
  </si>
  <si>
    <t>QB3 n4 =</t>
  </si>
  <si>
    <t>BE4 =</t>
  </si>
  <si>
    <r>
      <t>S</t>
    </r>
    <r>
      <rPr>
        <sz val="10"/>
        <rFont val="Arial"/>
        <family val="2"/>
      </rPr>
      <t xml:space="preserve"> - costante allineamenti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(vedi sotto)</t>
    </r>
  </si>
  <si>
    <r>
      <t xml:space="preserve"> </t>
    </r>
    <r>
      <rPr>
        <b/>
        <i/>
        <sz val="6"/>
        <rFont val="Arial Narrow"/>
        <family val="2"/>
      </rPr>
      <t>S</t>
    </r>
    <r>
      <rPr>
        <i/>
        <sz val="6"/>
        <rFont val="Arial Narrow"/>
        <family val="2"/>
      </rPr>
      <t xml:space="preserve"> =da </t>
    </r>
    <r>
      <rPr>
        <b/>
        <i/>
        <sz val="6"/>
        <rFont val="Arial Narrow"/>
        <family val="2"/>
      </rPr>
      <t>2</t>
    </r>
    <r>
      <rPr>
        <i/>
        <sz val="6"/>
        <rFont val="Arial Narrow"/>
        <family val="2"/>
      </rPr>
      <t xml:space="preserve"> per (QB3 n1) a</t>
    </r>
    <r>
      <rPr>
        <b/>
        <i/>
        <sz val="6"/>
        <rFont val="Arial Narrow"/>
        <family val="2"/>
      </rPr>
      <t xml:space="preserve"> 5,7</t>
    </r>
    <r>
      <rPr>
        <i/>
        <sz val="6"/>
        <rFont val="Arial Narrow"/>
        <family val="2"/>
      </rPr>
      <t xml:space="preserve"> per (B4)  </t>
    </r>
    <r>
      <rPr>
        <b/>
        <i/>
        <sz val="6"/>
        <rFont val="Arial Narrow"/>
        <family val="2"/>
      </rPr>
      <t>10</t>
    </r>
    <r>
      <rPr>
        <i/>
        <sz val="6"/>
        <rFont val="Arial Narrow"/>
        <family val="2"/>
      </rPr>
      <t xml:space="preserve"> fino a 16 per i (C4)</t>
    </r>
  </si>
  <si>
    <t>BL4 =</t>
  </si>
  <si>
    <r>
      <t>NOTE</t>
    </r>
    <r>
      <rPr>
        <i/>
        <sz val="9"/>
        <color indexed="18"/>
        <rFont val="Arial Narrow"/>
        <family val="2"/>
      </rPr>
      <t>: il Volume</t>
    </r>
    <r>
      <rPr>
        <b/>
        <i/>
        <sz val="9"/>
        <color indexed="18"/>
        <rFont val="Arial Narrow"/>
        <family val="2"/>
      </rPr>
      <t>Vb</t>
    </r>
    <r>
      <rPr>
        <i/>
        <sz val="9"/>
        <color indexed="18"/>
        <rFont val="Arial Narrow"/>
        <family val="2"/>
      </rPr>
      <t xml:space="preserve"> del BOX è assimilabile ad un "filtro passa alto del 3° e 4° ordine.</t>
    </r>
  </si>
  <si>
    <t>B4 =</t>
  </si>
  <si>
    <t>5,7 Butterworth</t>
  </si>
  <si>
    <r>
      <t>I più Utilizzati, QB3 =</t>
    </r>
    <r>
      <rPr>
        <b/>
        <i/>
        <sz val="9"/>
        <color indexed="18"/>
        <rFont val="Arial Narrow"/>
        <family val="2"/>
      </rPr>
      <t xml:space="preserve"> 3,1 </t>
    </r>
    <r>
      <rPr>
        <i/>
        <sz val="9"/>
        <color indexed="18"/>
        <rFont val="Arial Narrow"/>
        <family val="2"/>
      </rPr>
      <t xml:space="preserve">a  BL4 = </t>
    </r>
    <r>
      <rPr>
        <b/>
        <i/>
        <sz val="9"/>
        <color indexed="18"/>
        <rFont val="Arial Narrow"/>
        <family val="2"/>
      </rPr>
      <t xml:space="preserve">4,8 </t>
    </r>
    <r>
      <rPr>
        <i/>
        <sz val="9"/>
        <color indexed="18"/>
        <rFont val="Arial Narrow"/>
        <family val="2"/>
      </rPr>
      <t>si ottengono BOX piccoli a scapito della risposta</t>
    </r>
  </si>
  <si>
    <t>C4 =</t>
  </si>
  <si>
    <t>10 a 16</t>
  </si>
  <si>
    <r>
      <t>VAS</t>
    </r>
    <r>
      <rPr>
        <sz val="10"/>
        <rFont val="Arial"/>
        <family val="2"/>
      </rPr>
      <t xml:space="preserve"> - volume d'aria, di cedevolezza delle</t>
    </r>
  </si>
  <si>
    <t>xxxxxxxx</t>
  </si>
  <si>
    <t xml:space="preserve"> sospensioni  in……….. Lt.</t>
  </si>
  <si>
    <r>
      <t>Vb</t>
    </r>
    <r>
      <rPr>
        <sz val="10"/>
        <rFont val="Arial"/>
        <family val="2"/>
      </rPr>
      <t xml:space="preserve"> - volume  interno cassa            (con QL= 5)                    Lt. netti</t>
    </r>
  </si>
  <si>
    <t>Vb = S * Qt^2 * Vas</t>
  </si>
  <si>
    <r>
      <t>NOTA</t>
    </r>
    <r>
      <rPr>
        <i/>
        <sz val="9"/>
        <color indexed="18"/>
        <rFont val="Arial Narrow"/>
        <family val="2"/>
      </rPr>
      <t xml:space="preserve">:anche con materiale fonoassorbente sulle pareti interne il valore di </t>
    </r>
    <r>
      <rPr>
        <b/>
        <i/>
        <sz val="9"/>
        <color indexed="18"/>
        <rFont val="Arial Narrow"/>
        <family val="2"/>
      </rPr>
      <t>Vb non varia</t>
    </r>
    <r>
      <rPr>
        <i/>
        <sz val="9"/>
        <color indexed="18"/>
        <rFont val="Arial Narrow"/>
        <family val="2"/>
      </rPr>
      <t>.</t>
    </r>
  </si>
  <si>
    <r>
      <t>NOTA</t>
    </r>
    <r>
      <rPr>
        <i/>
        <sz val="9"/>
        <color indexed="18"/>
        <rFont val="Arial Narrow"/>
        <family val="2"/>
      </rPr>
      <t xml:space="preserve">: Se aumenta </t>
    </r>
    <r>
      <rPr>
        <b/>
        <i/>
        <sz val="9"/>
        <color indexed="18"/>
        <rFont val="Arial Narrow"/>
        <family val="2"/>
      </rPr>
      <t xml:space="preserve">S </t>
    </r>
    <r>
      <rPr>
        <i/>
        <sz val="9"/>
        <color indexed="18"/>
        <rFont val="Arial Narrow"/>
        <family val="2"/>
      </rPr>
      <t>o</t>
    </r>
    <r>
      <rPr>
        <b/>
        <i/>
        <sz val="9"/>
        <color indexed="18"/>
        <rFont val="Arial Narrow"/>
        <family val="2"/>
      </rPr>
      <t xml:space="preserve"> Rg</t>
    </r>
    <r>
      <rPr>
        <i/>
        <sz val="9"/>
        <color indexed="18"/>
        <rFont val="Arial Narrow"/>
        <family val="2"/>
      </rPr>
      <t xml:space="preserve"> aumenta </t>
    </r>
    <r>
      <rPr>
        <b/>
        <i/>
        <sz val="9"/>
        <color indexed="18"/>
        <rFont val="Arial Narrow"/>
        <family val="2"/>
      </rPr>
      <t>Vb,</t>
    </r>
    <r>
      <rPr>
        <i/>
        <sz val="9"/>
        <color indexed="18"/>
        <rFont val="Arial Narrow"/>
        <family val="2"/>
      </rPr>
      <t xml:space="preserve"> e diminuisce </t>
    </r>
    <r>
      <rPr>
        <b/>
        <i/>
        <sz val="9"/>
        <color indexed="18"/>
        <rFont val="Arial Narrow"/>
        <family val="2"/>
      </rPr>
      <t>F3.</t>
    </r>
    <r>
      <rPr>
        <i/>
        <sz val="9"/>
        <color indexed="18"/>
        <rFont val="Arial Narrow"/>
        <family val="2"/>
      </rPr>
      <t xml:space="preserve">- Mentre </t>
    </r>
    <r>
      <rPr>
        <b/>
        <i/>
        <sz val="9"/>
        <color indexed="18"/>
        <rFont val="Arial Narrow"/>
        <family val="2"/>
      </rPr>
      <t>Fb</t>
    </r>
    <r>
      <rPr>
        <i/>
        <sz val="9"/>
        <color indexed="18"/>
        <rFont val="Arial Narrow"/>
        <family val="2"/>
      </rPr>
      <t xml:space="preserve"> diventa inferiore solo variando </t>
    </r>
    <r>
      <rPr>
        <b/>
        <i/>
        <sz val="9"/>
        <color indexed="18"/>
        <rFont val="Arial Narrow"/>
        <family val="2"/>
      </rPr>
      <t>Rg,</t>
    </r>
    <r>
      <rPr>
        <i/>
        <sz val="9"/>
        <color indexed="18"/>
        <rFont val="Arial Narrow"/>
        <family val="2"/>
      </rPr>
      <t xml:space="preserve"> variando </t>
    </r>
    <r>
      <rPr>
        <b/>
        <i/>
        <sz val="9"/>
        <color indexed="18"/>
        <rFont val="Arial Narrow"/>
        <family val="2"/>
      </rPr>
      <t>S</t>
    </r>
    <r>
      <rPr>
        <i/>
        <sz val="9"/>
        <color indexed="18"/>
        <rFont val="Arial Narrow"/>
        <family val="2"/>
      </rPr>
      <t xml:space="preserve"> rimane uguale</t>
    </r>
  </si>
  <si>
    <t>Calcolo di Fb. FREQUENZA d'ACCORDO - Risonanza del mobile</t>
  </si>
  <si>
    <r>
      <t xml:space="preserve">Fb. </t>
    </r>
    <r>
      <rPr>
        <i/>
        <sz val="8"/>
        <color indexed="18"/>
        <rFont val="Arial"/>
        <family val="2"/>
      </rPr>
      <t>Tralasciando metodi complessi, usiamo un procedimento più semplice, ma efficace ed usato anche in programmi di simulazione per PC</t>
    </r>
  </si>
  <si>
    <r>
      <t>Fs</t>
    </r>
    <r>
      <rPr>
        <sz val="8"/>
        <rFont val="Arial"/>
        <family val="2"/>
      </rPr>
      <t>-</t>
    </r>
    <r>
      <rPr>
        <sz val="9"/>
        <rFont val="Arial"/>
        <family val="2"/>
      </rPr>
      <t>frequenza risonanza trasd.</t>
    </r>
    <r>
      <rPr>
        <sz val="8"/>
        <rFont val="Arial"/>
        <family val="2"/>
      </rPr>
      <t>in aria libera</t>
    </r>
    <r>
      <rPr>
        <b/>
        <sz val="8"/>
        <rFont val="Arial"/>
        <family val="2"/>
      </rPr>
      <t xml:space="preserve"> Hz.</t>
    </r>
  </si>
  <si>
    <r>
      <t>Fb</t>
    </r>
    <r>
      <rPr>
        <sz val="10"/>
        <rFont val="Arial"/>
        <family val="2"/>
      </rPr>
      <t xml:space="preserve"> - frequenza d'accordo</t>
    </r>
  </si>
  <si>
    <t>Hz.</t>
  </si>
  <si>
    <t>Fb = 0,39 * (Fs / Qt )</t>
  </si>
  <si>
    <r>
      <t xml:space="preserve">Calcolo di F3 - </t>
    </r>
    <r>
      <rPr>
        <sz val="10"/>
        <rFont val="Arial"/>
        <family val="2"/>
      </rPr>
      <t>frequenza inferiore riprodotta a - 3dB dalla linea di Banda Passante</t>
    </r>
  </si>
  <si>
    <r>
      <t xml:space="preserve"> Fs  -  Vas  -  Vb 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dati presi sopra</t>
    </r>
  </si>
  <si>
    <t>F3 = Fs * radq (Vas/ Vb )</t>
  </si>
  <si>
    <r>
      <t>F3</t>
    </r>
    <r>
      <rPr>
        <sz val="10"/>
        <rFont val="Arial"/>
        <family val="2"/>
      </rPr>
      <t xml:space="preserve"> - freq.infer.riprodotta a </t>
    </r>
    <r>
      <rPr>
        <sz val="8"/>
        <rFont val="Arial"/>
        <family val="2"/>
      </rPr>
      <t xml:space="preserve">meno </t>
    </r>
    <r>
      <rPr>
        <sz val="10"/>
        <rFont val="Arial"/>
        <family val="2"/>
      </rPr>
      <t xml:space="preserve"> -3dB</t>
    </r>
  </si>
  <si>
    <r>
      <t>F3</t>
    </r>
    <r>
      <rPr>
        <i/>
        <sz val="9"/>
        <color indexed="18"/>
        <rFont val="Arial Narrow"/>
        <family val="2"/>
      </rPr>
      <t xml:space="preserve"> è la frequenza più bassa utilmente riproducibile. Più il valore è basso, più si avranno risposte estese verso le basse frequenze.</t>
    </r>
  </si>
  <si>
    <r>
      <t xml:space="preserve">Alfa - </t>
    </r>
    <r>
      <rPr>
        <sz val="10"/>
        <rFont val="Arial"/>
        <family val="2"/>
      </rPr>
      <t>rapporto cedevolezza sistema</t>
    </r>
  </si>
  <si>
    <t>Vas / Vb</t>
  </si>
  <si>
    <r>
      <t>H</t>
    </r>
    <r>
      <rPr>
        <b/>
        <sz val="9"/>
        <rFont val="Arial"/>
        <family val="2"/>
      </rPr>
      <t xml:space="preserve"> - rapporto di "accordo del sistema"</t>
    </r>
  </si>
  <si>
    <t>H= Fb / Fs</t>
  </si>
  <si>
    <r>
      <t xml:space="preserve">Nota:                          FATTORE di PERDITA dei Diffusori    QL      -   </t>
    </r>
    <r>
      <rPr>
        <sz val="9"/>
        <rFont val="Arial"/>
        <family val="2"/>
      </rPr>
      <t xml:space="preserve">nei nostri calcoli il fattore è medio </t>
    </r>
    <r>
      <rPr>
        <b/>
        <sz val="9"/>
        <rFont val="Arial"/>
        <family val="2"/>
      </rPr>
      <t>QL = 5</t>
    </r>
  </si>
  <si>
    <t>pag. 2 / 2</t>
  </si>
  <si>
    <r>
      <t xml:space="preserve">Dimensionamento della CASSA  REFLEX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 di M. Rettinger )</t>
    </r>
  </si>
  <si>
    <r>
      <t>Vb</t>
    </r>
    <r>
      <rPr>
        <b/>
        <sz val="9"/>
        <rFont val="Arial Narrow"/>
        <family val="2"/>
      </rPr>
      <t xml:space="preserve"> - volume interno cassa:       Lt. netti</t>
    </r>
  </si>
  <si>
    <t xml:space="preserve"> Più  +   Volume tubo d'accordo, coni, filtro     in Lt.</t>
  </si>
  <si>
    <t>Volume totale Lt.</t>
  </si>
  <si>
    <r>
      <t xml:space="preserve">                   P = Profondità             L = Larghezza </t>
    </r>
    <r>
      <rPr>
        <sz val="9"/>
        <rFont val="Arial"/>
        <family val="2"/>
      </rPr>
      <t xml:space="preserve">=1,4132 * P   </t>
    </r>
    <r>
      <rPr>
        <sz val="10"/>
        <rFont val="Arial"/>
        <family val="2"/>
      </rPr>
      <t xml:space="preserve">     H = Altezza = </t>
    </r>
    <r>
      <rPr>
        <sz val="9"/>
        <rFont val="Arial"/>
        <family val="2"/>
      </rPr>
      <t xml:space="preserve">2 * P                               </t>
    </r>
    <r>
      <rPr>
        <sz val="10"/>
        <rFont val="Arial"/>
        <family val="2"/>
      </rPr>
      <t xml:space="preserve">   </t>
    </r>
  </si>
  <si>
    <r>
      <t xml:space="preserve"> Misure </t>
    </r>
    <r>
      <rPr>
        <b/>
        <u val="single"/>
        <sz val="9"/>
        <rFont val="Arial"/>
        <family val="2"/>
      </rPr>
      <t>Interne</t>
    </r>
    <r>
      <rPr>
        <b/>
        <sz val="9"/>
        <rFont val="Arial"/>
        <family val="2"/>
      </rPr>
      <t xml:space="preserve"> in cm.</t>
    </r>
  </si>
  <si>
    <t>P =</t>
  </si>
  <si>
    <t>L =</t>
  </si>
  <si>
    <t>H =</t>
  </si>
  <si>
    <t>Volume Lt.</t>
  </si>
  <si>
    <r>
      <t xml:space="preserve">Dimensionamento del TUBO d'ACCORDO </t>
    </r>
    <r>
      <rPr>
        <sz val="11"/>
        <rFont val="Arial"/>
        <family val="2"/>
      </rPr>
      <t xml:space="preserve">    </t>
    </r>
    <r>
      <rPr>
        <sz val="9"/>
        <rFont val="Arial"/>
        <family val="2"/>
      </rPr>
      <t>( Vedi anche relativa cartella )</t>
    </r>
  </si>
  <si>
    <t>per altoparlanti</t>
  </si>
  <si>
    <r>
      <t xml:space="preserve">D </t>
    </r>
    <r>
      <rPr>
        <sz val="10"/>
        <rFont val="Arial Narrow"/>
        <family val="2"/>
      </rPr>
      <t>- tubo minimo</t>
    </r>
  </si>
  <si>
    <t>D - diametro tubo in cm.</t>
  </si>
  <si>
    <t>area in cm2:</t>
  </si>
  <si>
    <t>da 10 cm</t>
  </si>
  <si>
    <t>2,5 cm</t>
  </si>
  <si>
    <t>da 10" a 13"</t>
  </si>
  <si>
    <t>5 cm</t>
  </si>
  <si>
    <r>
      <t xml:space="preserve">Fb - </t>
    </r>
    <r>
      <rPr>
        <b/>
        <sz val="9"/>
        <rFont val="Arial"/>
        <family val="2"/>
      </rPr>
      <t>Frequenza d'accordo - Hz</t>
    </r>
  </si>
  <si>
    <t>da 17" a 20"</t>
  </si>
  <si>
    <t>7,5 cm</t>
  </si>
  <si>
    <t>L - Lunghezza tubo</t>
  </si>
  <si>
    <t>cm</t>
  </si>
  <si>
    <t>Non molto più lungo del Diametro.</t>
  </si>
  <si>
    <t>Il rapporto della superfice dell'apertura con la superfice dell'altoparlante deve essere almeno di  9 / 1.</t>
  </si>
  <si>
    <r>
      <t xml:space="preserve">GRAFICO  RISPOSTA alle varie frequenze in cassa REFLEX   </t>
    </r>
    <r>
      <rPr>
        <i/>
        <sz val="9"/>
        <rFont val="Arial"/>
        <family val="2"/>
      </rPr>
      <t>(Senza FILTRO)</t>
    </r>
  </si>
  <si>
    <t>NOTE:</t>
  </si>
  <si>
    <t>S - costante allineamento</t>
  </si>
  <si>
    <r>
      <t>Qt</t>
    </r>
    <r>
      <rPr>
        <sz val="9"/>
        <rFont val="Arial"/>
        <family val="2"/>
      </rPr>
      <t>-fatt.di merito totale-</t>
    </r>
    <r>
      <rPr>
        <sz val="7"/>
        <rFont val="Arial"/>
        <family val="2"/>
      </rPr>
      <t>TRASDUTTORE</t>
    </r>
  </si>
  <si>
    <r>
      <t>F</t>
    </r>
    <r>
      <rPr>
        <sz val="10"/>
        <rFont val="Arial"/>
        <family val="2"/>
      </rPr>
      <t xml:space="preserve"> - grafico</t>
    </r>
  </si>
  <si>
    <r>
      <t>R</t>
    </r>
    <r>
      <rPr>
        <sz val="10"/>
        <rFont val="Arial"/>
        <family val="2"/>
      </rPr>
      <t xml:space="preserve"> - grafico</t>
    </r>
  </si>
  <si>
    <r>
      <t>F</t>
    </r>
    <r>
      <rPr>
        <sz val="8"/>
        <color indexed="12"/>
        <rFont val="Arial"/>
        <family val="2"/>
      </rPr>
      <t>(x)</t>
    </r>
    <r>
      <rPr>
        <sz val="10"/>
        <color indexed="12"/>
        <rFont val="Arial"/>
        <family val="2"/>
      </rPr>
      <t>-per una frequenza qualsiasi</t>
    </r>
  </si>
  <si>
    <t>Frequenze</t>
  </si>
  <si>
    <t>Fb - frequenza d'accordo-rison.</t>
  </si>
  <si>
    <t>NON avendo la formula, il calcolo della curva è indicativo !</t>
  </si>
  <si>
    <r>
      <t>R</t>
    </r>
    <r>
      <rPr>
        <sz val="10"/>
        <color indexed="12"/>
        <rFont val="Arial"/>
        <family val="2"/>
      </rPr>
      <t xml:space="preserve"> - risposta in dB  per determinate frequenze</t>
    </r>
    <r>
      <rPr>
        <b/>
        <sz val="10"/>
        <color indexed="12"/>
        <rFont val="Arial"/>
        <family val="2"/>
      </rPr>
      <t xml:space="preserve"> F</t>
    </r>
    <r>
      <rPr>
        <sz val="8"/>
        <color indexed="12"/>
        <rFont val="Arial"/>
        <family val="2"/>
      </rPr>
      <t>(x)</t>
    </r>
    <r>
      <rPr>
        <b/>
        <sz val="10"/>
        <color indexed="12"/>
        <rFont val="Arial"/>
        <family val="2"/>
      </rPr>
      <t>.</t>
    </r>
  </si>
  <si>
    <t>Programma Abacus21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</si>
</sst>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0.0"/>
    <numFmt numFmtId="168" formatCode="0"/>
    <numFmt numFmtId="169" formatCode="0.0000"/>
  </numFmts>
  <fonts count="60">
    <font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8"/>
      <name val="Swis721 BdOul BT"/>
      <family val="5"/>
    </font>
    <font>
      <sz val="12"/>
      <name val="Swis721 BdCnOul BT"/>
      <family val="5"/>
    </font>
    <font>
      <b/>
      <i/>
      <sz val="2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i/>
      <sz val="8"/>
      <color indexed="10"/>
      <name val="Arial Narrow"/>
      <family val="2"/>
    </font>
    <font>
      <sz val="8"/>
      <name val="Arial"/>
      <family val="2"/>
    </font>
    <font>
      <i/>
      <sz val="9"/>
      <name val="Arial"/>
      <family val="2"/>
    </font>
    <font>
      <sz val="8"/>
      <color indexed="18"/>
      <name val="Arial Narrow"/>
      <family val="2"/>
    </font>
    <font>
      <i/>
      <sz val="8"/>
      <color indexed="18"/>
      <name val="Arial Narrow"/>
      <family val="2"/>
    </font>
    <font>
      <b/>
      <i/>
      <sz val="8"/>
      <color indexed="18"/>
      <name val="Arial Narrow"/>
      <family val="2"/>
    </font>
    <font>
      <i/>
      <sz val="10"/>
      <color indexed="10"/>
      <name val="Arial"/>
      <family val="2"/>
    </font>
    <font>
      <i/>
      <sz val="9"/>
      <color indexed="10"/>
      <name val="Arial Narrow"/>
      <family val="2"/>
    </font>
    <font>
      <b/>
      <sz val="11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i/>
      <sz val="6"/>
      <name val="Arial Narrow"/>
      <family val="2"/>
    </font>
    <font>
      <b/>
      <i/>
      <sz val="6"/>
      <name val="Arial Narrow"/>
      <family val="2"/>
    </font>
    <font>
      <b/>
      <i/>
      <sz val="9"/>
      <color indexed="18"/>
      <name val="Arial Narrow"/>
      <family val="2"/>
    </font>
    <font>
      <i/>
      <sz val="9"/>
      <color indexed="18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sz val="9"/>
      <name val="Arial"/>
      <family val="2"/>
    </font>
    <font>
      <b/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i/>
      <sz val="11"/>
      <color indexed="10"/>
      <name val="Arial"/>
      <family val="2"/>
    </font>
    <font>
      <i/>
      <sz val="8"/>
      <color indexed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18"/>
      <name val="Arial Narrow"/>
      <family val="2"/>
    </font>
    <font>
      <i/>
      <sz val="9"/>
      <name val="Arial Narrow"/>
      <family val="2"/>
    </font>
    <font>
      <sz val="10"/>
      <color indexed="18"/>
      <name val="Arial Narrow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color indexed="63"/>
      <name val="Arial"/>
      <family val="2"/>
    </font>
    <font>
      <b/>
      <sz val="8.5"/>
      <color indexed="63"/>
      <name val="Arial"/>
      <family val="2"/>
    </font>
    <font>
      <b/>
      <sz val="9.25"/>
      <color indexed="63"/>
      <name val="Arial"/>
      <family val="2"/>
    </font>
    <font>
      <sz val="8"/>
      <color indexed="6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7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1" xfId="0" applyFont="1" applyFill="1" applyBorder="1" applyAlignment="1">
      <alignment horizontal="center"/>
    </xf>
    <xf numFmtId="164" fontId="1" fillId="4" borderId="2" xfId="20" applyNumberFormat="1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4" fontId="5" fillId="5" borderId="4" xfId="0" applyFont="1" applyFill="1" applyBorder="1" applyAlignment="1">
      <alignment horizontal="center"/>
    </xf>
    <xf numFmtId="164" fontId="6" fillId="5" borderId="5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9" fillId="6" borderId="6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10" fillId="6" borderId="0" xfId="0" applyFont="1" applyFill="1" applyBorder="1" applyAlignment="1">
      <alignment horizontal="center"/>
    </xf>
    <xf numFmtId="164" fontId="11" fillId="3" borderId="8" xfId="0" applyFont="1" applyFill="1" applyBorder="1" applyAlignment="1">
      <alignment/>
    </xf>
    <xf numFmtId="164" fontId="9" fillId="7" borderId="9" xfId="0" applyFont="1" applyFill="1" applyBorder="1" applyAlignment="1">
      <alignment horizontal="center"/>
    </xf>
    <xf numFmtId="164" fontId="12" fillId="0" borderId="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3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6" fillId="8" borderId="0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8" fillId="0" borderId="4" xfId="0" applyFont="1" applyBorder="1" applyAlignment="1">
      <alignment/>
    </xf>
    <xf numFmtId="165" fontId="9" fillId="3" borderId="9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0" fillId="8" borderId="0" xfId="0" applyFill="1" applyBorder="1" applyAlignment="1">
      <alignment/>
    </xf>
    <xf numFmtId="164" fontId="9" fillId="3" borderId="9" xfId="0" applyFont="1" applyFill="1" applyBorder="1" applyAlignment="1">
      <alignment horizontal="center"/>
    </xf>
    <xf numFmtId="164" fontId="0" fillId="8" borderId="10" xfId="0" applyFont="1" applyFill="1" applyBorder="1" applyAlignment="1">
      <alignment horizontal="right"/>
    </xf>
    <xf numFmtId="165" fontId="0" fillId="8" borderId="11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9" fillId="8" borderId="5" xfId="0" applyFont="1" applyFill="1" applyBorder="1" applyAlignment="1">
      <alignment/>
    </xf>
    <xf numFmtId="165" fontId="9" fillId="8" borderId="9" xfId="0" applyNumberFormat="1" applyFont="1" applyFill="1" applyBorder="1" applyAlignment="1">
      <alignment horizontal="center"/>
    </xf>
    <xf numFmtId="164" fontId="15" fillId="0" borderId="0" xfId="0" applyFont="1" applyBorder="1" applyAlignment="1">
      <alignment/>
    </xf>
    <xf numFmtId="164" fontId="8" fillId="0" borderId="9" xfId="0" applyFont="1" applyBorder="1" applyAlignment="1">
      <alignment/>
    </xf>
    <xf numFmtId="164" fontId="9" fillId="3" borderId="5" xfId="0" applyFont="1" applyFill="1" applyBorder="1" applyAlignment="1">
      <alignment horizontal="center"/>
    </xf>
    <xf numFmtId="164" fontId="16" fillId="0" borderId="5" xfId="0" applyFont="1" applyFill="1" applyBorder="1" applyAlignment="1">
      <alignment/>
    </xf>
    <xf numFmtId="164" fontId="12" fillId="0" borderId="0" xfId="0" applyFont="1" applyAlignment="1">
      <alignment/>
    </xf>
    <xf numFmtId="164" fontId="0" fillId="0" borderId="6" xfId="0" applyBorder="1" applyAlignment="1">
      <alignment/>
    </xf>
    <xf numFmtId="164" fontId="6" fillId="9" borderId="0" xfId="0" applyFont="1" applyFill="1" applyBorder="1" applyAlignment="1">
      <alignment horizontal="left"/>
    </xf>
    <xf numFmtId="164" fontId="6" fillId="9" borderId="7" xfId="0" applyFont="1" applyFill="1" applyBorder="1" applyAlignment="1">
      <alignment horizontal="center"/>
    </xf>
    <xf numFmtId="164" fontId="8" fillId="0" borderId="6" xfId="0" applyFont="1" applyBorder="1" applyAlignment="1">
      <alignment/>
    </xf>
    <xf numFmtId="165" fontId="19" fillId="8" borderId="9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21" fillId="0" borderId="4" xfId="0" applyFont="1" applyBorder="1" applyAlignment="1">
      <alignment/>
    </xf>
    <xf numFmtId="164" fontId="25" fillId="9" borderId="6" xfId="0" applyFont="1" applyFill="1" applyBorder="1" applyAlignment="1">
      <alignment/>
    </xf>
    <xf numFmtId="164" fontId="27" fillId="0" borderId="6" xfId="0" applyFont="1" applyFill="1" applyBorder="1" applyAlignment="1">
      <alignment horizontal="center"/>
    </xf>
    <xf numFmtId="164" fontId="29" fillId="0" borderId="0" xfId="0" applyFont="1" applyFill="1" applyBorder="1" applyAlignment="1">
      <alignment horizontal="left"/>
    </xf>
    <xf numFmtId="164" fontId="15" fillId="9" borderId="7" xfId="0" applyFont="1" applyFill="1" applyBorder="1" applyAlignment="1">
      <alignment horizontal="center"/>
    </xf>
    <xf numFmtId="164" fontId="28" fillId="0" borderId="6" xfId="0" applyFont="1" applyFill="1" applyBorder="1" applyAlignment="1">
      <alignment horizontal="center"/>
    </xf>
    <xf numFmtId="164" fontId="30" fillId="0" borderId="6" xfId="0" applyFont="1" applyFill="1" applyBorder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30" fillId="0" borderId="0" xfId="0" applyFont="1" applyFill="1" applyBorder="1" applyAlignment="1">
      <alignment/>
    </xf>
    <xf numFmtId="164" fontId="30" fillId="8" borderId="0" xfId="0" applyFont="1" applyFill="1" applyBorder="1" applyAlignment="1">
      <alignment horizontal="center"/>
    </xf>
    <xf numFmtId="164" fontId="30" fillId="0" borderId="7" xfId="0" applyFont="1" applyFill="1" applyBorder="1" applyAlignment="1">
      <alignment horizontal="center"/>
    </xf>
    <xf numFmtId="164" fontId="31" fillId="3" borderId="0" xfId="0" applyFont="1" applyFill="1" applyBorder="1" applyAlignment="1">
      <alignment horizontal="center"/>
    </xf>
    <xf numFmtId="164" fontId="0" fillId="0" borderId="4" xfId="0" applyFont="1" applyBorder="1" applyAlignment="1">
      <alignment horizontal="right"/>
    </xf>
    <xf numFmtId="164" fontId="20" fillId="0" borderId="0" xfId="0" applyFont="1" applyBorder="1" applyAlignment="1">
      <alignment/>
    </xf>
    <xf numFmtId="166" fontId="9" fillId="8" borderId="9" xfId="0" applyNumberFormat="1" applyFont="1" applyFill="1" applyBorder="1" applyAlignment="1">
      <alignment horizontal="center"/>
    </xf>
    <xf numFmtId="164" fontId="10" fillId="0" borderId="6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5" fillId="0" borderId="12" xfId="0" applyFont="1" applyFill="1" applyBorder="1" applyAlignment="1">
      <alignment horizontal="center"/>
    </xf>
    <xf numFmtId="164" fontId="15" fillId="0" borderId="12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27" fillId="0" borderId="5" xfId="0" applyFont="1" applyFill="1" applyBorder="1" applyAlignment="1">
      <alignment horizontal="center"/>
    </xf>
    <xf numFmtId="164" fontId="32" fillId="0" borderId="4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/>
    </xf>
    <xf numFmtId="164" fontId="35" fillId="8" borderId="0" xfId="0" applyFont="1" applyFill="1" applyBorder="1" applyAlignment="1">
      <alignment horizontal="center"/>
    </xf>
    <xf numFmtId="164" fontId="35" fillId="0" borderId="7" xfId="0" applyFont="1" applyFill="1" applyBorder="1" applyAlignment="1">
      <alignment horizontal="center"/>
    </xf>
    <xf numFmtId="164" fontId="9" fillId="8" borderId="13" xfId="0" applyFont="1" applyFill="1" applyBorder="1" applyAlignment="1">
      <alignment/>
    </xf>
    <xf numFmtId="164" fontId="0" fillId="8" borderId="14" xfId="0" applyFont="1" applyFill="1" applyBorder="1" applyAlignment="1">
      <alignment horizontal="right"/>
    </xf>
    <xf numFmtId="167" fontId="9" fillId="8" borderId="9" xfId="0" applyNumberFormat="1" applyFont="1" applyFill="1" applyBorder="1" applyAlignment="1">
      <alignment horizontal="center"/>
    </xf>
    <xf numFmtId="164" fontId="6" fillId="0" borderId="13" xfId="0" applyFont="1" applyBorder="1" applyAlignment="1">
      <alignment horizontal="right"/>
    </xf>
    <xf numFmtId="164" fontId="15" fillId="0" borderId="14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right"/>
    </xf>
    <xf numFmtId="164" fontId="15" fillId="0" borderId="0" xfId="0" applyFont="1" applyFill="1" applyBorder="1" applyAlignment="1">
      <alignment/>
    </xf>
    <xf numFmtId="164" fontId="9" fillId="8" borderId="12" xfId="0" applyFont="1" applyFill="1" applyBorder="1" applyAlignment="1">
      <alignment horizontal="left"/>
    </xf>
    <xf numFmtId="164" fontId="0" fillId="8" borderId="0" xfId="0" applyFont="1" applyFill="1" applyBorder="1" applyAlignment="1">
      <alignment horizontal="center"/>
    </xf>
    <xf numFmtId="164" fontId="0" fillId="8" borderId="0" xfId="0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9" fillId="8" borderId="15" xfId="0" applyFont="1" applyFill="1" applyBorder="1" applyAlignment="1">
      <alignment horizontal="left"/>
    </xf>
    <xf numFmtId="166" fontId="21" fillId="8" borderId="0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4" fontId="7" fillId="10" borderId="9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34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6" fontId="36" fillId="0" borderId="0" xfId="0" applyNumberFormat="1" applyFont="1" applyFill="1" applyBorder="1" applyAlignment="1">
      <alignment horizontal="center"/>
    </xf>
    <xf numFmtId="164" fontId="37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1" fillId="7" borderId="9" xfId="0" applyFont="1" applyFill="1" applyBorder="1" applyAlignment="1">
      <alignment horizontal="center"/>
    </xf>
    <xf numFmtId="164" fontId="38" fillId="11" borderId="4" xfId="0" applyFont="1" applyFill="1" applyBorder="1" applyAlignment="1">
      <alignment/>
    </xf>
    <xf numFmtId="166" fontId="19" fillId="8" borderId="9" xfId="0" applyNumberFormat="1" applyFont="1" applyFill="1" applyBorder="1" applyAlignment="1">
      <alignment horizontal="center"/>
    </xf>
    <xf numFmtId="164" fontId="37" fillId="0" borderId="1" xfId="0" applyFont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8" xfId="0" applyFont="1" applyFill="1" applyBorder="1" applyAlignment="1">
      <alignment horizontal="center"/>
    </xf>
    <xf numFmtId="164" fontId="21" fillId="0" borderId="7" xfId="0" applyFont="1" applyFill="1" applyBorder="1" applyAlignment="1">
      <alignment horizontal="center"/>
    </xf>
    <xf numFmtId="164" fontId="39" fillId="11" borderId="4" xfId="0" applyFont="1" applyFill="1" applyBorder="1" applyAlignment="1">
      <alignment horizontal="center"/>
    </xf>
    <xf numFmtId="164" fontId="21" fillId="8" borderId="13" xfId="0" applyFont="1" applyFill="1" applyBorder="1" applyAlignment="1">
      <alignment horizontal="center"/>
    </xf>
    <xf numFmtId="164" fontId="21" fillId="8" borderId="14" xfId="0" applyFont="1" applyFill="1" applyBorder="1" applyAlignment="1">
      <alignment horizontal="center"/>
    </xf>
    <xf numFmtId="164" fontId="9" fillId="8" borderId="9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7" fillId="0" borderId="6" xfId="0" applyFont="1" applyFill="1" applyBorder="1" applyAlignment="1">
      <alignment/>
    </xf>
    <xf numFmtId="166" fontId="21" fillId="8" borderId="9" xfId="0" applyNumberFormat="1" applyFont="1" applyFill="1" applyBorder="1" applyAlignment="1">
      <alignment horizontal="center"/>
    </xf>
    <xf numFmtId="164" fontId="7" fillId="0" borderId="13" xfId="0" applyFont="1" applyFill="1" applyBorder="1" applyAlignment="1">
      <alignment/>
    </xf>
    <xf numFmtId="164" fontId="0" fillId="0" borderId="15" xfId="0" applyFill="1" applyBorder="1" applyAlignment="1">
      <alignment horizontal="right"/>
    </xf>
    <xf numFmtId="164" fontId="21" fillId="0" borderId="15" xfId="0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164" fontId="0" fillId="0" borderId="15" xfId="0" applyFill="1" applyBorder="1" applyAlignment="1">
      <alignment/>
    </xf>
    <xf numFmtId="166" fontId="21" fillId="0" borderId="14" xfId="0" applyNumberFormat="1" applyFont="1" applyFill="1" applyBorder="1" applyAlignment="1">
      <alignment horizontal="center"/>
    </xf>
    <xf numFmtId="164" fontId="21" fillId="7" borderId="5" xfId="0" applyFont="1" applyFill="1" applyBorder="1" applyAlignment="1">
      <alignment horizontal="center"/>
    </xf>
    <xf numFmtId="164" fontId="21" fillId="0" borderId="6" xfId="0" applyFont="1" applyFill="1" applyBorder="1" applyAlignment="1">
      <alignment horizontal="center"/>
    </xf>
    <xf numFmtId="164" fontId="42" fillId="0" borderId="12" xfId="0" applyFont="1" applyFill="1" applyBorder="1" applyAlignment="1">
      <alignment horizontal="center"/>
    </xf>
    <xf numFmtId="164" fontId="42" fillId="7" borderId="9" xfId="0" applyFont="1" applyFill="1" applyBorder="1" applyAlignment="1">
      <alignment horizontal="center"/>
    </xf>
    <xf numFmtId="164" fontId="43" fillId="7" borderId="9" xfId="0" applyFont="1" applyFill="1" applyBorder="1" applyAlignment="1">
      <alignment horizontal="center"/>
    </xf>
    <xf numFmtId="164" fontId="21" fillId="3" borderId="9" xfId="0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34" fillId="8" borderId="13" xfId="0" applyFont="1" applyFill="1" applyBorder="1" applyAlignment="1">
      <alignment horizontal="center"/>
    </xf>
    <xf numFmtId="166" fontId="21" fillId="8" borderId="14" xfId="0" applyNumberFormat="1" applyFont="1" applyFill="1" applyBorder="1" applyAlignment="1">
      <alignment horizontal="center"/>
    </xf>
    <xf numFmtId="164" fontId="31" fillId="0" borderId="6" xfId="0" applyFont="1" applyFill="1" applyBorder="1" applyAlignment="1">
      <alignment horizontal="center"/>
    </xf>
    <xf numFmtId="164" fontId="45" fillId="7" borderId="3" xfId="0" applyFont="1" applyFill="1" applyBorder="1" applyAlignment="1">
      <alignment horizontal="center"/>
    </xf>
    <xf numFmtId="164" fontId="0" fillId="7" borderId="4" xfId="0" applyFont="1" applyFill="1" applyBorder="1" applyAlignment="1">
      <alignment horizontal="center"/>
    </xf>
    <xf numFmtId="167" fontId="21" fillId="3" borderId="9" xfId="0" applyNumberFormat="1" applyFont="1" applyFill="1" applyBorder="1" applyAlignment="1">
      <alignment horizontal="center"/>
    </xf>
    <xf numFmtId="164" fontId="46" fillId="0" borderId="0" xfId="0" applyFont="1" applyBorder="1" applyAlignment="1">
      <alignment/>
    </xf>
    <xf numFmtId="164" fontId="31" fillId="0" borderId="0" xfId="0" applyFont="1" applyFill="1" applyBorder="1" applyAlignment="1">
      <alignment horizontal="center"/>
    </xf>
    <xf numFmtId="164" fontId="45" fillId="7" borderId="4" xfId="0" applyFont="1" applyFill="1" applyBorder="1" applyAlignment="1">
      <alignment horizontal="center"/>
    </xf>
    <xf numFmtId="168" fontId="21" fillId="3" borderId="9" xfId="0" applyNumberFormat="1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47" fillId="7" borderId="4" xfId="0" applyFont="1" applyFill="1" applyBorder="1" applyAlignment="1">
      <alignment horizontal="center"/>
    </xf>
    <xf numFmtId="164" fontId="8" fillId="8" borderId="5" xfId="0" applyFont="1" applyFill="1" applyBorder="1" applyAlignment="1">
      <alignment/>
    </xf>
    <xf numFmtId="166" fontId="21" fillId="8" borderId="10" xfId="0" applyNumberFormat="1" applyFont="1" applyFill="1" applyBorder="1" applyAlignment="1">
      <alignment horizontal="center"/>
    </xf>
    <xf numFmtId="164" fontId="0" fillId="8" borderId="11" xfId="0" applyFont="1" applyFill="1" applyBorder="1" applyAlignment="1">
      <alignment horizontal="center"/>
    </xf>
    <xf numFmtId="164" fontId="46" fillId="0" borderId="4" xfId="0" applyFont="1" applyBorder="1" applyAlignment="1">
      <alignment/>
    </xf>
    <xf numFmtId="164" fontId="48" fillId="0" borderId="5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6" borderId="10" xfId="0" applyFont="1" applyFill="1" applyBorder="1" applyAlignment="1">
      <alignment horizontal="center"/>
    </xf>
    <xf numFmtId="164" fontId="6" fillId="3" borderId="11" xfId="0" applyFont="1" applyFill="1" applyBorder="1" applyAlignment="1">
      <alignment/>
    </xf>
    <xf numFmtId="164" fontId="19" fillId="0" borderId="6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7" xfId="0" applyFont="1" applyFill="1" applyBorder="1" applyAlignment="1">
      <alignment/>
    </xf>
    <xf numFmtId="164" fontId="0" fillId="0" borderId="6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6" fillId="0" borderId="7" xfId="0" applyFont="1" applyFill="1" applyBorder="1" applyAlignment="1">
      <alignment horizontal="left"/>
    </xf>
    <xf numFmtId="164" fontId="8" fillId="0" borderId="6" xfId="0" applyFont="1" applyFill="1" applyBorder="1" applyAlignment="1">
      <alignment/>
    </xf>
    <xf numFmtId="165" fontId="19" fillId="8" borderId="7" xfId="0" applyNumberFormat="1" applyFont="1" applyFill="1" applyBorder="1" applyAlignment="1">
      <alignment horizontal="center"/>
    </xf>
    <xf numFmtId="164" fontId="8" fillId="6" borderId="3" xfId="0" applyFont="1" applyFill="1" applyBorder="1" applyAlignment="1">
      <alignment horizontal="center"/>
    </xf>
    <xf numFmtId="164" fontId="8" fillId="6" borderId="9" xfId="0" applyFont="1" applyFill="1" applyBorder="1" applyAlignment="1">
      <alignment horizontal="center"/>
    </xf>
    <xf numFmtId="164" fontId="50" fillId="0" borderId="4" xfId="0" applyFont="1" applyFill="1" applyBorder="1" applyAlignment="1">
      <alignment horizontal="center"/>
    </xf>
    <xf numFmtId="164" fontId="52" fillId="3" borderId="9" xfId="0" applyFont="1" applyFill="1" applyBorder="1" applyAlignment="1">
      <alignment horizontal="center"/>
    </xf>
    <xf numFmtId="164" fontId="31" fillId="9" borderId="10" xfId="0" applyFont="1" applyFill="1" applyBorder="1" applyAlignment="1">
      <alignment horizontal="center"/>
    </xf>
    <xf numFmtId="164" fontId="0" fillId="9" borderId="12" xfId="0" applyFill="1" applyBorder="1" applyAlignment="1">
      <alignment horizontal="center"/>
    </xf>
    <xf numFmtId="165" fontId="0" fillId="8" borderId="9" xfId="0" applyNumberFormat="1" applyFill="1" applyBorder="1" applyAlignment="1">
      <alignment/>
    </xf>
    <xf numFmtId="164" fontId="0" fillId="0" borderId="6" xfId="0" applyFont="1" applyFill="1" applyBorder="1" applyAlignment="1">
      <alignment/>
    </xf>
    <xf numFmtId="167" fontId="19" fillId="8" borderId="0" xfId="0" applyNumberFormat="1" applyFont="1" applyFill="1" applyBorder="1" applyAlignment="1">
      <alignment horizontal="center"/>
    </xf>
    <xf numFmtId="164" fontId="0" fillId="9" borderId="6" xfId="0" applyFill="1" applyBorder="1" applyAlignment="1">
      <alignment horizontal="center"/>
    </xf>
    <xf numFmtId="164" fontId="0" fillId="0" borderId="6" xfId="0" applyFill="1" applyBorder="1" applyAlignment="1">
      <alignment/>
    </xf>
    <xf numFmtId="164" fontId="19" fillId="0" borderId="6" xfId="0" applyFont="1" applyBorder="1" applyAlignment="1">
      <alignment horizontal="center"/>
    </xf>
    <xf numFmtId="164" fontId="53" fillId="8" borderId="4" xfId="0" applyFont="1" applyFill="1" applyBorder="1" applyAlignment="1">
      <alignment horizontal="center"/>
    </xf>
    <xf numFmtId="169" fontId="52" fillId="8" borderId="9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9" borderId="13" xfId="0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0" fillId="0" borderId="15" xfId="0" applyFill="1" applyBorder="1" applyAlignment="1">
      <alignment horizontal="center"/>
    </xf>
    <xf numFmtId="165" fontId="0" fillId="0" borderId="14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57575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CURVA della RISPOSTA - dB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Foglio1!$E$80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Foglio1!$H$104</c:f>
              <c:numCache/>
            </c:numRef>
          </c:cat>
          <c:val>
            <c:numRef>
              <c:f>Foglio1!$I$104</c:f>
              <c:numCache/>
            </c:numRef>
          </c:val>
          <c:smooth val="0"/>
        </c:ser>
        <c:marker val="1"/>
        <c:axId val="27909872"/>
        <c:axId val="27284017"/>
      </c:lineChart>
      <c:catAx>
        <c:axId val="27909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FREQUENZA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4017"/>
        <c:crossesAt val="0"/>
        <c:auto val="1"/>
        <c:lblOffset val="100"/>
        <c:noMultiLvlLbl val="0"/>
      </c:catAx>
      <c:valAx>
        <c:axId val="27284017"/>
        <c:scaling>
          <c:orientation val="minMax"/>
          <c:max val="5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987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9</xdr:row>
      <xdr:rowOff>28575</xdr:rowOff>
    </xdr:from>
    <xdr:to>
      <xdr:col>5</xdr:col>
      <xdr:colOff>257175</xdr:colOff>
      <xdr:row>12</xdr:row>
      <xdr:rowOff>0</xdr:rowOff>
    </xdr:to>
    <xdr:sp>
      <xdr:nvSpPr>
        <xdr:cNvPr id="1" name="Forme 1"/>
        <xdr:cNvSpPr>
          <a:spLocks/>
        </xdr:cNvSpPr>
      </xdr:nvSpPr>
      <xdr:spPr>
        <a:xfrm>
          <a:off x="5343525" y="1838325"/>
          <a:ext cx="190500" cy="457200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38100</xdr:rowOff>
    </xdr:from>
    <xdr:to>
      <xdr:col>9</xdr:col>
      <xdr:colOff>9525</xdr:colOff>
      <xdr:row>29</xdr:row>
      <xdr:rowOff>28575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962650" y="4171950"/>
          <a:ext cx="1762125" cy="962025"/>
        </a:xfrm>
        <a:prstGeom prst="rect">
          <a:avLst/>
        </a:prstGeom>
        <a:solidFill>
          <a:srgbClr val="FFFF99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dB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livello relativo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 = 16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+3dB
 +3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da S 5,8 a 16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0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Banda Passante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-3                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S = 5,7 
                                              S = 2  
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0,7F  1F   1,4F   2F  Frequ.F3 / Fs</a:t>
          </a:r>
        </a:p>
      </xdr:txBody>
    </xdr:sp>
    <xdr:clientData/>
  </xdr:twoCellAnchor>
  <xdr:twoCellAnchor>
    <xdr:from>
      <xdr:col>6</xdr:col>
      <xdr:colOff>180975</xdr:colOff>
      <xdr:row>26</xdr:row>
      <xdr:rowOff>19050</xdr:rowOff>
    </xdr:from>
    <xdr:to>
      <xdr:col>8</xdr:col>
      <xdr:colOff>428625</xdr:colOff>
      <xdr:row>26</xdr:row>
      <xdr:rowOff>19050</xdr:rowOff>
    </xdr:to>
    <xdr:sp>
      <xdr:nvSpPr>
        <xdr:cNvPr id="3" name="linea 3"/>
        <xdr:cNvSpPr>
          <a:spLocks/>
        </xdr:cNvSpPr>
      </xdr:nvSpPr>
      <xdr:spPr>
        <a:xfrm>
          <a:off x="6067425" y="4638675"/>
          <a:ext cx="1466850" cy="0"/>
        </a:xfrm>
        <a:prstGeom prst="line">
          <a:avLst/>
        </a:prstGeom>
        <a:noFill/>
        <a:ln w="9360" cmpd="sng">
          <a:solidFill>
            <a:srgbClr val="1A1A1A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24</xdr:row>
      <xdr:rowOff>133350</xdr:rowOff>
    </xdr:from>
    <xdr:to>
      <xdr:col>6</xdr:col>
      <xdr:colOff>266700</xdr:colOff>
      <xdr:row>28</xdr:row>
      <xdr:rowOff>123825</xdr:rowOff>
    </xdr:to>
    <xdr:sp>
      <xdr:nvSpPr>
        <xdr:cNvPr id="4" name="linea 4"/>
        <xdr:cNvSpPr>
          <a:spLocks/>
        </xdr:cNvSpPr>
      </xdr:nvSpPr>
      <xdr:spPr>
        <a:xfrm>
          <a:off x="6153150" y="4429125"/>
          <a:ext cx="0" cy="638175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28</xdr:row>
      <xdr:rowOff>133350</xdr:rowOff>
    </xdr:from>
    <xdr:to>
      <xdr:col>8</xdr:col>
      <xdr:colOff>400050</xdr:colOff>
      <xdr:row>28</xdr:row>
      <xdr:rowOff>133350</xdr:rowOff>
    </xdr:to>
    <xdr:sp>
      <xdr:nvSpPr>
        <xdr:cNvPr id="5" name="linea 5"/>
        <xdr:cNvSpPr>
          <a:spLocks/>
        </xdr:cNvSpPr>
      </xdr:nvSpPr>
      <xdr:spPr>
        <a:xfrm>
          <a:off x="6153150" y="5076825"/>
          <a:ext cx="1352550" cy="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28575</xdr:colOff>
      <xdr:row>28</xdr:row>
      <xdr:rowOff>133350</xdr:rowOff>
    </xdr:to>
    <xdr:sp>
      <xdr:nvSpPr>
        <xdr:cNvPr id="6" name="linea 6"/>
        <xdr:cNvSpPr>
          <a:spLocks/>
        </xdr:cNvSpPr>
      </xdr:nvSpPr>
      <xdr:spPr>
        <a:xfrm>
          <a:off x="6524625" y="4467225"/>
          <a:ext cx="0" cy="609600"/>
        </a:xfrm>
        <a:prstGeom prst="line">
          <a:avLst/>
        </a:prstGeom>
        <a:noFill/>
        <a:ln w="6480" cmpd="sng">
          <a:solidFill>
            <a:srgbClr val="1A1A1A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66675</xdr:rowOff>
    </xdr:from>
    <xdr:to>
      <xdr:col>7</xdr:col>
      <xdr:colOff>400050</xdr:colOff>
      <xdr:row>28</xdr:row>
      <xdr:rowOff>66675</xdr:rowOff>
    </xdr:to>
    <xdr:sp>
      <xdr:nvSpPr>
        <xdr:cNvPr id="7" name="Forme 7"/>
        <xdr:cNvSpPr>
          <a:spLocks/>
        </xdr:cNvSpPr>
      </xdr:nvSpPr>
      <xdr:spPr>
        <a:xfrm>
          <a:off x="6210300" y="4524375"/>
          <a:ext cx="685800" cy="485775"/>
        </a:xfrm>
        <a:custGeom>
          <a:pathLst/>
        </a:cu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152400</xdr:rowOff>
    </xdr:from>
    <xdr:to>
      <xdr:col>7</xdr:col>
      <xdr:colOff>295275</xdr:colOff>
      <xdr:row>28</xdr:row>
      <xdr:rowOff>76200</xdr:rowOff>
    </xdr:to>
    <xdr:sp>
      <xdr:nvSpPr>
        <xdr:cNvPr id="8" name="Forme 8"/>
        <xdr:cNvSpPr>
          <a:spLocks/>
        </xdr:cNvSpPr>
      </xdr:nvSpPr>
      <xdr:spPr>
        <a:xfrm>
          <a:off x="6210300" y="4610100"/>
          <a:ext cx="581025" cy="409575"/>
        </a:xfrm>
        <a:custGeom>
          <a:pathLst/>
        </a:cu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26</xdr:row>
      <xdr:rowOff>28575</xdr:rowOff>
    </xdr:from>
    <xdr:to>
      <xdr:col>7</xdr:col>
      <xdr:colOff>361950</xdr:colOff>
      <xdr:row>28</xdr:row>
      <xdr:rowOff>57150</xdr:rowOff>
    </xdr:to>
    <xdr:sp>
      <xdr:nvSpPr>
        <xdr:cNvPr id="9" name="Forme 9"/>
        <xdr:cNvSpPr>
          <a:spLocks/>
        </xdr:cNvSpPr>
      </xdr:nvSpPr>
      <xdr:spPr>
        <a:xfrm>
          <a:off x="6219825" y="4648200"/>
          <a:ext cx="638175" cy="352425"/>
        </a:xfrm>
        <a:custGeom>
          <a:pathLst/>
        </a:cu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142875</xdr:rowOff>
    </xdr:from>
    <xdr:to>
      <xdr:col>8</xdr:col>
      <xdr:colOff>9525</xdr:colOff>
      <xdr:row>25</xdr:row>
      <xdr:rowOff>114300</xdr:rowOff>
    </xdr:to>
    <xdr:sp>
      <xdr:nvSpPr>
        <xdr:cNvPr id="10" name="linea 10"/>
        <xdr:cNvSpPr>
          <a:spLocks/>
        </xdr:cNvSpPr>
      </xdr:nvSpPr>
      <xdr:spPr>
        <a:xfrm flipH="1">
          <a:off x="6572250" y="4438650"/>
          <a:ext cx="542925" cy="133350"/>
        </a:xfrm>
        <a:prstGeom prst="line">
          <a:avLst/>
        </a:prstGeom>
        <a:noFill/>
        <a:ln w="648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47625</xdr:rowOff>
    </xdr:from>
    <xdr:to>
      <xdr:col>8</xdr:col>
      <xdr:colOff>66675</xdr:colOff>
      <xdr:row>27</xdr:row>
      <xdr:rowOff>9525</xdr:rowOff>
    </xdr:to>
    <xdr:sp>
      <xdr:nvSpPr>
        <xdr:cNvPr id="11" name="linea 11"/>
        <xdr:cNvSpPr>
          <a:spLocks/>
        </xdr:cNvSpPr>
      </xdr:nvSpPr>
      <xdr:spPr>
        <a:xfrm flipH="1" flipV="1">
          <a:off x="6477000" y="4667250"/>
          <a:ext cx="695325" cy="123825"/>
        </a:xfrm>
        <a:prstGeom prst="line">
          <a:avLst/>
        </a:prstGeom>
        <a:noFill/>
        <a:ln w="648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27</xdr:row>
      <xdr:rowOff>9525</xdr:rowOff>
    </xdr:from>
    <xdr:to>
      <xdr:col>8</xdr:col>
      <xdr:colOff>57150</xdr:colOff>
      <xdr:row>27</xdr:row>
      <xdr:rowOff>104775</xdr:rowOff>
    </xdr:to>
    <xdr:sp>
      <xdr:nvSpPr>
        <xdr:cNvPr id="12" name="linea 12"/>
        <xdr:cNvSpPr>
          <a:spLocks/>
        </xdr:cNvSpPr>
      </xdr:nvSpPr>
      <xdr:spPr>
        <a:xfrm flipH="1" flipV="1">
          <a:off x="6410325" y="4791075"/>
          <a:ext cx="752475" cy="95250"/>
        </a:xfrm>
        <a:prstGeom prst="line">
          <a:avLst/>
        </a:prstGeom>
        <a:noFill/>
        <a:ln w="648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81</xdr:row>
      <xdr:rowOff>28575</xdr:rowOff>
    </xdr:from>
    <xdr:to>
      <xdr:col>6</xdr:col>
      <xdr:colOff>581025</xdr:colOff>
      <xdr:row>103</xdr:row>
      <xdr:rowOff>142875</xdr:rowOff>
    </xdr:to>
    <xdr:graphicFrame>
      <xdr:nvGraphicFramePr>
        <xdr:cNvPr id="13" name="Chart 14"/>
        <xdr:cNvGraphicFramePr/>
      </xdr:nvGraphicFramePr>
      <xdr:xfrm>
        <a:off x="85725" y="13554075"/>
        <a:ext cx="63817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71</xdr:row>
      <xdr:rowOff>152400</xdr:rowOff>
    </xdr:from>
    <xdr:to>
      <xdr:col>2</xdr:col>
      <xdr:colOff>781050</xdr:colOff>
      <xdr:row>75</xdr:row>
      <xdr:rowOff>76200</xdr:rowOff>
    </xdr:to>
    <xdr:sp>
      <xdr:nvSpPr>
        <xdr:cNvPr id="14" name="Forme 14"/>
        <xdr:cNvSpPr>
          <a:spLocks/>
        </xdr:cNvSpPr>
      </xdr:nvSpPr>
      <xdr:spPr>
        <a:xfrm>
          <a:off x="2419350" y="12058650"/>
          <a:ext cx="609600" cy="571500"/>
        </a:xfrm>
        <a:prstGeom prst="curvedConnector3">
          <a:avLst>
            <a:gd name="adj1" fmla="val 0"/>
            <a:gd name="adj2" fmla="val -100000"/>
          </a:avLst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48</xdr:row>
      <xdr:rowOff>19050</xdr:rowOff>
    </xdr:from>
    <xdr:to>
      <xdr:col>9</xdr:col>
      <xdr:colOff>9525</xdr:colOff>
      <xdr:row>53</xdr:row>
      <xdr:rowOff>104775</xdr:rowOff>
    </xdr:to>
    <xdr:sp fLocksText="0">
      <xdr:nvSpPr>
        <xdr:cNvPr id="15" name="Text 15"/>
        <xdr:cNvSpPr txBox="1">
          <a:spLocks noChangeArrowheads="1"/>
        </xdr:cNvSpPr>
      </xdr:nvSpPr>
      <xdr:spPr>
        <a:xfrm>
          <a:off x="6324600" y="8201025"/>
          <a:ext cx="1400175" cy="895350"/>
        </a:xfrm>
        <a:prstGeom prst="rect">
          <a:avLst/>
        </a:prstGeom>
        <a:solidFill>
          <a:srgbClr val="FFFF99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effetti delle perdite del Box
                        QL 10
  0dB                             QL 7
                      QL 3</a:t>
          </a:r>
        </a:p>
      </xdr:txBody>
    </xdr:sp>
    <xdr:clientData/>
  </xdr:twoCellAnchor>
  <xdr:twoCellAnchor>
    <xdr:from>
      <xdr:col>7</xdr:col>
      <xdr:colOff>114300</xdr:colOff>
      <xdr:row>49</xdr:row>
      <xdr:rowOff>9525</xdr:rowOff>
    </xdr:from>
    <xdr:to>
      <xdr:col>7</xdr:col>
      <xdr:colOff>114300</xdr:colOff>
      <xdr:row>53</xdr:row>
      <xdr:rowOff>47625</xdr:rowOff>
    </xdr:to>
    <xdr:sp>
      <xdr:nvSpPr>
        <xdr:cNvPr id="16" name="linea 16"/>
        <xdr:cNvSpPr>
          <a:spLocks/>
        </xdr:cNvSpPr>
      </xdr:nvSpPr>
      <xdr:spPr>
        <a:xfrm>
          <a:off x="6610350" y="8353425"/>
          <a:ext cx="0" cy="68580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53</xdr:row>
      <xdr:rowOff>57150</xdr:rowOff>
    </xdr:from>
    <xdr:to>
      <xdr:col>8</xdr:col>
      <xdr:colOff>533400</xdr:colOff>
      <xdr:row>53</xdr:row>
      <xdr:rowOff>57150</xdr:rowOff>
    </xdr:to>
    <xdr:sp>
      <xdr:nvSpPr>
        <xdr:cNvPr id="17" name="linea 17"/>
        <xdr:cNvSpPr>
          <a:spLocks/>
        </xdr:cNvSpPr>
      </xdr:nvSpPr>
      <xdr:spPr>
        <a:xfrm>
          <a:off x="6610350" y="9048750"/>
          <a:ext cx="1028700" cy="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50</xdr:row>
      <xdr:rowOff>57150</xdr:rowOff>
    </xdr:from>
    <xdr:to>
      <xdr:col>8</xdr:col>
      <xdr:colOff>266700</xdr:colOff>
      <xdr:row>53</xdr:row>
      <xdr:rowOff>47625</xdr:rowOff>
    </xdr:to>
    <xdr:sp>
      <xdr:nvSpPr>
        <xdr:cNvPr id="18" name="Forme 18"/>
        <xdr:cNvSpPr>
          <a:spLocks/>
        </xdr:cNvSpPr>
      </xdr:nvSpPr>
      <xdr:spPr>
        <a:xfrm>
          <a:off x="6734175" y="8562975"/>
          <a:ext cx="638175" cy="476250"/>
        </a:xfrm>
        <a:custGeom>
          <a:pathLst/>
        </a:cu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104775</xdr:rowOff>
    </xdr:from>
    <xdr:to>
      <xdr:col>8</xdr:col>
      <xdr:colOff>342900</xdr:colOff>
      <xdr:row>53</xdr:row>
      <xdr:rowOff>47625</xdr:rowOff>
    </xdr:to>
    <xdr:sp>
      <xdr:nvSpPr>
        <xdr:cNvPr id="19" name="Forme 19"/>
        <xdr:cNvSpPr>
          <a:spLocks/>
        </xdr:cNvSpPr>
      </xdr:nvSpPr>
      <xdr:spPr>
        <a:xfrm>
          <a:off x="6724650" y="8448675"/>
          <a:ext cx="723900" cy="590550"/>
        </a:xfrm>
        <a:custGeom>
          <a:pathLst/>
        </a:cu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50</xdr:row>
      <xdr:rowOff>66675</xdr:rowOff>
    </xdr:from>
    <xdr:to>
      <xdr:col>8</xdr:col>
      <xdr:colOff>85725</xdr:colOff>
      <xdr:row>53</xdr:row>
      <xdr:rowOff>57150</xdr:rowOff>
    </xdr:to>
    <xdr:sp>
      <xdr:nvSpPr>
        <xdr:cNvPr id="20" name="Forme 20"/>
        <xdr:cNvSpPr>
          <a:spLocks/>
        </xdr:cNvSpPr>
      </xdr:nvSpPr>
      <xdr:spPr>
        <a:xfrm>
          <a:off x="6734175" y="8572500"/>
          <a:ext cx="457200" cy="476250"/>
        </a:xfrm>
        <a:custGeom>
          <a:pathLst/>
        </a:cu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48</xdr:row>
      <xdr:rowOff>57150</xdr:rowOff>
    </xdr:from>
    <xdr:to>
      <xdr:col>6</xdr:col>
      <xdr:colOff>247650</xdr:colOff>
      <xdr:row>52</xdr:row>
      <xdr:rowOff>9525</xdr:rowOff>
    </xdr:to>
    <xdr:sp fLocksText="0">
      <xdr:nvSpPr>
        <xdr:cNvPr id="21" name="Text 21"/>
        <xdr:cNvSpPr txBox="1">
          <a:spLocks noChangeArrowheads="1"/>
        </xdr:cNvSpPr>
      </xdr:nvSpPr>
      <xdr:spPr>
        <a:xfrm>
          <a:off x="171450" y="8239125"/>
          <a:ext cx="5962650" cy="6000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Nella maggior parte dei casi, il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QL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dei diffusori è compreso tra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(per grandi diffusori, con elevate perdite) e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 o più per diffusori piccoli, poche perdite) Nella normale pratica ipotizzare un valore compreso tra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e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(tipicamente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inisdbeta/WinISD/WinISD.exe" TargetMode="External" /><Relationship Id="rId2" Type="http://schemas.openxmlformats.org/officeDocument/2006/relationships/hyperlink" Target="scaricati%20hi-fi/Abacus21/abacus20.ex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14.421875" style="0" customWidth="1"/>
    <col min="3" max="3" width="17.140625" style="0" customWidth="1"/>
    <col min="5" max="5" width="19.140625" style="0" customWidth="1"/>
  </cols>
  <sheetData>
    <row r="1" spans="1:9" ht="14.25" customHeight="1">
      <c r="A1" s="1" t="s">
        <v>0</v>
      </c>
      <c r="B1" s="2" t="s">
        <v>1</v>
      </c>
      <c r="C1" s="2"/>
      <c r="D1" s="2"/>
      <c r="E1" s="3" t="s">
        <v>2</v>
      </c>
      <c r="F1" s="3"/>
      <c r="G1" s="3"/>
      <c r="H1" s="3"/>
      <c r="I1" s="4" t="s">
        <v>3</v>
      </c>
    </row>
    <row r="2" spans="1:9" ht="30" customHeight="1">
      <c r="A2" s="5" t="s">
        <v>4</v>
      </c>
      <c r="B2" s="5"/>
      <c r="C2" s="5"/>
      <c r="D2" s="5"/>
      <c r="E2" s="5"/>
      <c r="F2" s="5"/>
      <c r="G2" s="5"/>
      <c r="H2" s="5"/>
      <c r="I2" s="5"/>
    </row>
    <row r="3" spans="1:9" ht="7.5" customHeight="1">
      <c r="A3" s="6"/>
      <c r="B3" s="6"/>
      <c r="C3" s="6"/>
      <c r="D3" s="6"/>
      <c r="E3" s="6"/>
      <c r="F3" s="6"/>
      <c r="G3" s="6"/>
      <c r="H3" s="6"/>
      <c r="I3" s="6"/>
    </row>
    <row r="4" spans="1:9" ht="27" customHeigh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5</v>
      </c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6</v>
      </c>
      <c r="B6" s="10" t="s">
        <v>7</v>
      </c>
      <c r="C6" s="10"/>
      <c r="D6" s="10"/>
      <c r="E6" s="10"/>
      <c r="F6" s="11" t="s">
        <v>8</v>
      </c>
      <c r="G6" s="12"/>
      <c r="H6" s="13"/>
      <c r="I6" s="13"/>
    </row>
    <row r="7" spans="1:9" ht="12.75">
      <c r="A7" s="14" t="s">
        <v>9</v>
      </c>
      <c r="B7" s="15" t="s">
        <v>10</v>
      </c>
      <c r="C7" s="15"/>
      <c r="D7" s="15"/>
      <c r="E7" s="15"/>
      <c r="F7" s="15"/>
      <c r="G7" s="15"/>
      <c r="H7" s="15"/>
      <c r="I7" s="15"/>
    </row>
    <row r="8" spans="1:9" ht="12.75">
      <c r="A8" s="16" t="s">
        <v>11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7"/>
      <c r="B9" s="18"/>
      <c r="C9" s="18"/>
      <c r="D9" s="19" t="s">
        <v>12</v>
      </c>
      <c r="E9" s="20"/>
      <c r="F9" s="21" t="s">
        <v>13</v>
      </c>
      <c r="G9" s="20"/>
      <c r="H9" s="20"/>
      <c r="I9" s="22"/>
    </row>
    <row r="10" spans="1:9" ht="12.75">
      <c r="A10" s="23" t="s">
        <v>14</v>
      </c>
      <c r="B10" s="23"/>
      <c r="C10" s="23"/>
      <c r="D10" s="24">
        <v>0.7</v>
      </c>
      <c r="E10" s="25" t="s">
        <v>15</v>
      </c>
      <c r="F10" s="26"/>
      <c r="G10" s="20"/>
      <c r="H10" s="20"/>
      <c r="I10" s="22"/>
    </row>
    <row r="11" spans="1:9" ht="12.75">
      <c r="A11" s="23" t="s">
        <v>16</v>
      </c>
      <c r="B11" s="23"/>
      <c r="C11" s="23"/>
      <c r="D11" s="27">
        <v>4</v>
      </c>
      <c r="E11" s="25" t="s">
        <v>15</v>
      </c>
      <c r="F11" s="28" t="s">
        <v>17</v>
      </c>
      <c r="G11" s="29">
        <f>SUM(D10*((D11+D12)/D11))</f>
        <v>0.7</v>
      </c>
      <c r="H11" s="30"/>
      <c r="I11" s="22"/>
    </row>
    <row r="12" spans="1:9" ht="12.75">
      <c r="A12" s="23" t="s">
        <v>18</v>
      </c>
      <c r="B12" s="23"/>
      <c r="C12" s="23"/>
      <c r="D12" s="27"/>
      <c r="E12" s="25" t="s">
        <v>19</v>
      </c>
      <c r="F12" s="26"/>
      <c r="G12" s="20"/>
      <c r="H12" s="20"/>
      <c r="I12" s="22"/>
    </row>
    <row r="13" spans="1:9" ht="12.75">
      <c r="A13" s="23" t="s">
        <v>20</v>
      </c>
      <c r="B13" s="23"/>
      <c r="C13" s="23"/>
      <c r="D13" s="27">
        <v>9.3</v>
      </c>
      <c r="E13" s="25" t="s">
        <v>15</v>
      </c>
      <c r="F13" s="26"/>
      <c r="G13" s="20"/>
      <c r="H13" s="20"/>
      <c r="I13" s="22"/>
    </row>
    <row r="14" spans="1:9" ht="12.75">
      <c r="A14" s="31" t="s">
        <v>21</v>
      </c>
      <c r="B14" s="31"/>
      <c r="C14" s="31"/>
      <c r="D14" s="31"/>
      <c r="E14" s="31"/>
      <c r="F14" s="32">
        <f>SUM(G11*D13)/(G11+D13)</f>
        <v>0.651</v>
      </c>
      <c r="G14" s="33"/>
      <c r="H14" s="18"/>
      <c r="I14" s="22"/>
    </row>
    <row r="15" spans="1:9" ht="12.75">
      <c r="A15" s="34" t="s">
        <v>22</v>
      </c>
      <c r="B15" s="34"/>
      <c r="C15" s="34"/>
      <c r="D15" s="35"/>
      <c r="E15" s="36" t="s">
        <v>23</v>
      </c>
      <c r="F15" s="36"/>
      <c r="G15" s="36"/>
      <c r="H15" s="36"/>
      <c r="I15" s="36"/>
    </row>
    <row r="16" spans="5:8" ht="12.75">
      <c r="E16" s="37"/>
      <c r="F16" s="37"/>
      <c r="G16" s="37"/>
      <c r="H16" s="37"/>
    </row>
    <row r="17" spans="1:9" ht="12.75">
      <c r="A17" s="16" t="s">
        <v>24</v>
      </c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38"/>
      <c r="B18" s="20"/>
      <c r="C18" s="20"/>
      <c r="D18" s="19" t="s">
        <v>12</v>
      </c>
      <c r="E18" s="20"/>
      <c r="F18" s="21" t="s">
        <v>13</v>
      </c>
      <c r="G18" s="20"/>
      <c r="H18" s="39" t="s">
        <v>25</v>
      </c>
      <c r="I18" s="40">
        <v>3.1</v>
      </c>
    </row>
    <row r="19" spans="1:9" ht="12.75">
      <c r="A19" s="41" t="s">
        <v>26</v>
      </c>
      <c r="B19" s="41"/>
      <c r="C19" s="41"/>
      <c r="D19" s="42">
        <f>SUM(F14)</f>
        <v>0.651</v>
      </c>
      <c r="E19" s="43" t="s">
        <v>27</v>
      </c>
      <c r="F19" s="26"/>
      <c r="G19" s="20"/>
      <c r="H19" s="39" t="s">
        <v>28</v>
      </c>
      <c r="I19" s="40">
        <v>4</v>
      </c>
    </row>
    <row r="20" spans="1:9" ht="12.75">
      <c r="A20" s="38"/>
      <c r="B20" s="20"/>
      <c r="C20" s="20"/>
      <c r="D20" s="44"/>
      <c r="E20" s="20"/>
      <c r="F20" s="26"/>
      <c r="G20" s="20"/>
      <c r="H20" s="39" t="s">
        <v>29</v>
      </c>
      <c r="I20" s="40">
        <v>4.5</v>
      </c>
    </row>
    <row r="21" spans="1:9" ht="15.75">
      <c r="A21" s="45" t="s">
        <v>30</v>
      </c>
      <c r="B21" s="45"/>
      <c r="C21" s="45"/>
      <c r="D21" s="27">
        <v>4.5</v>
      </c>
      <c r="E21" s="46" t="s">
        <v>31</v>
      </c>
      <c r="F21" s="46"/>
      <c r="G21" s="46"/>
      <c r="H21" s="39" t="s">
        <v>32</v>
      </c>
      <c r="I21" s="40">
        <v>4.8</v>
      </c>
    </row>
    <row r="22" spans="1:9" ht="13.5">
      <c r="A22" s="47" t="s">
        <v>33</v>
      </c>
      <c r="B22" s="47"/>
      <c r="C22" s="47"/>
      <c r="D22" s="47"/>
      <c r="E22" s="47"/>
      <c r="F22" s="48"/>
      <c r="G22" s="48"/>
      <c r="H22" s="39" t="s">
        <v>34</v>
      </c>
      <c r="I22" s="49" t="s">
        <v>35</v>
      </c>
    </row>
    <row r="23" spans="1:9" ht="13.5">
      <c r="A23" s="50" t="s">
        <v>36</v>
      </c>
      <c r="B23" s="50"/>
      <c r="C23" s="50"/>
      <c r="D23" s="50"/>
      <c r="E23" s="50"/>
      <c r="F23" s="48"/>
      <c r="G23" s="48"/>
      <c r="H23" s="39" t="s">
        <v>37</v>
      </c>
      <c r="I23" s="40" t="s">
        <v>38</v>
      </c>
    </row>
    <row r="24" spans="1:9" ht="12.75">
      <c r="A24" s="51"/>
      <c r="B24" s="52"/>
      <c r="C24" s="52"/>
      <c r="D24" s="52"/>
      <c r="E24" s="53"/>
      <c r="F24" s="54"/>
      <c r="G24" s="52"/>
      <c r="H24" s="52"/>
      <c r="I24" s="55"/>
    </row>
    <row r="25" spans="1:9" ht="12.75">
      <c r="A25" s="41" t="s">
        <v>39</v>
      </c>
      <c r="B25" s="41"/>
      <c r="C25" s="41"/>
      <c r="D25" s="56" t="s">
        <v>40</v>
      </c>
      <c r="E25" s="20"/>
      <c r="F25" s="26"/>
      <c r="G25" s="20"/>
      <c r="H25" s="20"/>
      <c r="I25" s="22"/>
    </row>
    <row r="26" spans="1:9" ht="12.75">
      <c r="A26" s="57" t="s">
        <v>41</v>
      </c>
      <c r="B26" s="57"/>
      <c r="C26" s="57"/>
      <c r="D26" s="27">
        <v>45</v>
      </c>
      <c r="E26" s="58" t="s">
        <v>15</v>
      </c>
      <c r="F26" s="26"/>
      <c r="G26" s="20"/>
      <c r="H26" s="20"/>
      <c r="I26" s="22"/>
    </row>
    <row r="27" spans="1:9" ht="12.75">
      <c r="A27" s="38"/>
      <c r="B27" s="20"/>
      <c r="C27" s="20"/>
      <c r="D27" s="20"/>
      <c r="E27" s="20"/>
      <c r="F27" s="26"/>
      <c r="G27" s="20"/>
      <c r="H27" s="20"/>
      <c r="I27" s="22"/>
    </row>
    <row r="28" spans="1:9" ht="12.75">
      <c r="A28" s="31" t="s">
        <v>42</v>
      </c>
      <c r="B28" s="31"/>
      <c r="C28" s="31"/>
      <c r="D28" s="31"/>
      <c r="E28" s="31"/>
      <c r="F28" s="59">
        <f>SUM(D21*F14^2*D26)</f>
        <v>85.8197025</v>
      </c>
      <c r="G28" s="20"/>
      <c r="H28" s="20"/>
      <c r="I28" s="22"/>
    </row>
    <row r="29" spans="1:9" ht="12.75">
      <c r="A29" s="60"/>
      <c r="B29" s="61"/>
      <c r="C29" s="61"/>
      <c r="D29" s="62" t="s">
        <v>43</v>
      </c>
      <c r="E29" s="62"/>
      <c r="F29" s="63"/>
      <c r="G29" s="64"/>
      <c r="H29" s="64"/>
      <c r="I29" s="22"/>
    </row>
    <row r="30" spans="1:9" ht="12.75">
      <c r="A30" s="47" t="s">
        <v>44</v>
      </c>
      <c r="B30" s="47"/>
      <c r="C30" s="47"/>
      <c r="D30" s="47"/>
      <c r="E30" s="47"/>
      <c r="F30" s="47"/>
      <c r="G30" s="64"/>
      <c r="H30" s="64"/>
      <c r="I30" s="22"/>
    </row>
    <row r="31" spans="1:9" ht="12.75">
      <c r="A31" s="65" t="s">
        <v>45</v>
      </c>
      <c r="B31" s="65"/>
      <c r="C31" s="65"/>
      <c r="D31" s="65"/>
      <c r="E31" s="65"/>
      <c r="F31" s="65"/>
      <c r="G31" s="65"/>
      <c r="H31" s="65"/>
      <c r="I31" s="65"/>
    </row>
    <row r="32" spans="1:9" ht="12.75">
      <c r="A32" s="64"/>
      <c r="B32" s="64"/>
      <c r="C32" s="64"/>
      <c r="D32" s="64"/>
      <c r="E32" s="64"/>
      <c r="F32" s="64"/>
      <c r="G32" s="64"/>
      <c r="H32" s="64"/>
      <c r="I32" s="20"/>
    </row>
    <row r="33" spans="1:9" ht="12.75">
      <c r="A33" s="16" t="s">
        <v>46</v>
      </c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66" t="s">
        <v>47</v>
      </c>
      <c r="B34" s="66"/>
      <c r="C34" s="66"/>
      <c r="D34" s="66"/>
      <c r="E34" s="66"/>
      <c r="F34" s="66"/>
      <c r="G34" s="66"/>
      <c r="H34" s="66"/>
      <c r="I34" s="66"/>
    </row>
    <row r="35" spans="1:9" ht="12.75">
      <c r="A35" s="38"/>
      <c r="B35" s="20"/>
      <c r="C35" s="20"/>
      <c r="D35" s="19" t="s">
        <v>12</v>
      </c>
      <c r="E35" s="20"/>
      <c r="F35" s="21" t="s">
        <v>13</v>
      </c>
      <c r="G35" s="20"/>
      <c r="H35" s="20"/>
      <c r="I35" s="22"/>
    </row>
    <row r="36" spans="1:9" ht="12.75">
      <c r="A36" s="41" t="s">
        <v>26</v>
      </c>
      <c r="B36" s="41"/>
      <c r="C36" s="41"/>
      <c r="D36" s="42">
        <f>SUM(F14)</f>
        <v>0.651</v>
      </c>
      <c r="E36" s="43" t="s">
        <v>27</v>
      </c>
      <c r="F36" s="26"/>
      <c r="G36" s="20"/>
      <c r="H36" s="20"/>
      <c r="I36" s="22"/>
    </row>
    <row r="37" spans="1:9" ht="12.75">
      <c r="A37" s="38"/>
      <c r="B37" s="20"/>
      <c r="C37" s="20"/>
      <c r="D37" s="44"/>
      <c r="E37" s="20"/>
      <c r="F37" s="26"/>
      <c r="G37" s="20"/>
      <c r="H37" s="20"/>
      <c r="I37" s="22"/>
    </row>
    <row r="38" spans="1:9" ht="12.75">
      <c r="A38" s="23" t="s">
        <v>48</v>
      </c>
      <c r="B38" s="23"/>
      <c r="C38" s="23"/>
      <c r="D38" s="27">
        <v>43</v>
      </c>
      <c r="E38" s="58" t="s">
        <v>15</v>
      </c>
      <c r="F38" s="26"/>
      <c r="G38" s="20"/>
      <c r="H38" s="20"/>
      <c r="I38" s="22"/>
    </row>
    <row r="39" spans="1:9" ht="12.75">
      <c r="A39" s="67"/>
      <c r="B39" s="68"/>
      <c r="C39" s="68"/>
      <c r="D39" s="68"/>
      <c r="E39" s="68"/>
      <c r="F39" s="69"/>
      <c r="G39" s="68"/>
      <c r="H39" s="68"/>
      <c r="I39" s="70"/>
    </row>
    <row r="40" spans="1:9" ht="12.75">
      <c r="A40" s="71" t="s">
        <v>49</v>
      </c>
      <c r="B40" s="71"/>
      <c r="C40" s="71"/>
      <c r="D40" s="71"/>
      <c r="E40" s="72" t="s">
        <v>50</v>
      </c>
      <c r="F40" s="73">
        <f>SUM(0.39*(D38/F14))</f>
        <v>25.760368663594473</v>
      </c>
      <c r="G40" s="74"/>
      <c r="H40" s="75" t="s">
        <v>51</v>
      </c>
      <c r="I40" s="75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16" t="s">
        <v>52</v>
      </c>
      <c r="B42" s="16"/>
      <c r="C42" s="16"/>
      <c r="D42" s="16"/>
      <c r="E42" s="16"/>
      <c r="F42" s="16"/>
      <c r="G42" s="16"/>
      <c r="H42" s="16"/>
      <c r="I42" s="16"/>
    </row>
    <row r="43" spans="1:9" ht="12.75">
      <c r="A43" s="76" t="s">
        <v>53</v>
      </c>
      <c r="B43" s="76"/>
      <c r="C43" s="76"/>
      <c r="D43" s="77"/>
      <c r="E43" s="78" t="s">
        <v>54</v>
      </c>
      <c r="F43" s="78"/>
      <c r="G43" s="20"/>
      <c r="H43" s="20"/>
      <c r="I43" s="22"/>
    </row>
    <row r="44" spans="1:9" ht="12.75">
      <c r="A44" s="31" t="s">
        <v>55</v>
      </c>
      <c r="B44" s="31"/>
      <c r="C44" s="31"/>
      <c r="D44" s="31"/>
      <c r="E44" s="31"/>
      <c r="F44" s="73">
        <f>SUM(D38*SQRT(D26/F28))</f>
        <v>31.137318577595025</v>
      </c>
      <c r="G44" s="20"/>
      <c r="H44" s="20"/>
      <c r="I44" s="22"/>
    </row>
    <row r="45" spans="1:9" ht="12.75">
      <c r="A45" s="65" t="s">
        <v>56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79" t="s">
        <v>57</v>
      </c>
      <c r="B46" s="79"/>
      <c r="C46" s="79"/>
      <c r="D46" s="80" t="s">
        <v>58</v>
      </c>
      <c r="E46" s="81"/>
      <c r="F46" s="32">
        <f>SUM(D26/F28)</f>
        <v>0.5243551153070007</v>
      </c>
      <c r="G46" s="82"/>
      <c r="H46" s="82"/>
      <c r="I46" s="82"/>
    </row>
    <row r="47" spans="1:9" ht="12.75">
      <c r="A47" s="83" t="s">
        <v>59</v>
      </c>
      <c r="B47" s="83"/>
      <c r="C47" s="83"/>
      <c r="D47" s="81" t="s">
        <v>60</v>
      </c>
      <c r="E47" s="84"/>
      <c r="F47" s="32">
        <f>SUM(F40/D38)</f>
        <v>0.599078341013825</v>
      </c>
      <c r="G47" s="85"/>
      <c r="H47" s="18"/>
      <c r="I47" s="86"/>
    </row>
    <row r="48" spans="1:9" ht="12.75">
      <c r="A48" s="87" t="s">
        <v>61</v>
      </c>
      <c r="B48" s="87"/>
      <c r="C48" s="87"/>
      <c r="D48" s="87"/>
      <c r="E48" s="87"/>
      <c r="F48" s="87"/>
      <c r="G48" s="87"/>
      <c r="H48" s="87"/>
      <c r="I48" s="87"/>
    </row>
    <row r="49" spans="1:9" ht="12.75">
      <c r="A49" s="88"/>
      <c r="B49" s="85"/>
      <c r="C49" s="85"/>
      <c r="D49" s="85"/>
      <c r="E49" s="85"/>
      <c r="F49" s="85"/>
      <c r="G49" s="85"/>
      <c r="H49" s="85"/>
      <c r="I49" s="85"/>
    </row>
    <row r="50" spans="1:9" ht="12.75">
      <c r="A50" s="88"/>
      <c r="B50" s="85"/>
      <c r="C50" s="85"/>
      <c r="D50" s="85"/>
      <c r="E50" s="85"/>
      <c r="F50" s="85"/>
      <c r="G50" s="85"/>
      <c r="H50" s="85"/>
      <c r="I50" s="85"/>
    </row>
    <row r="51" spans="1:9" ht="12.75">
      <c r="A51" s="89"/>
      <c r="B51" s="89"/>
      <c r="C51" s="85"/>
      <c r="D51" s="90"/>
      <c r="E51" s="91"/>
      <c r="F51" s="86"/>
      <c r="G51" s="18"/>
      <c r="H51" s="18"/>
      <c r="I51" s="18"/>
    </row>
    <row r="52" spans="1:9" ht="12.75">
      <c r="A52" s="89"/>
      <c r="B52" s="89"/>
      <c r="C52" s="85"/>
      <c r="D52" s="90"/>
      <c r="E52" s="91"/>
      <c r="F52" s="86"/>
      <c r="G52" s="18"/>
      <c r="H52" s="18"/>
      <c r="I52" s="18"/>
    </row>
    <row r="53" spans="1:9" ht="12.75">
      <c r="A53" s="92"/>
      <c r="B53" s="92"/>
      <c r="C53" s="86"/>
      <c r="D53" s="93"/>
      <c r="E53" s="93"/>
      <c r="F53" s="93"/>
      <c r="G53" s="93"/>
      <c r="H53" s="93"/>
      <c r="I53" s="18"/>
    </row>
    <row r="54" spans="1:9" ht="12.75">
      <c r="A54" s="89"/>
      <c r="B54" s="89"/>
      <c r="C54" s="94"/>
      <c r="D54" s="95"/>
      <c r="E54" s="93"/>
      <c r="F54" s="93"/>
      <c r="G54" s="93"/>
      <c r="H54" s="93"/>
      <c r="I54" s="18"/>
    </row>
    <row r="55" spans="1:9" ht="12.75">
      <c r="A55" s="96"/>
      <c r="B55" s="96"/>
      <c r="C55" s="96"/>
      <c r="D55" s="96"/>
      <c r="E55" s="96"/>
      <c r="F55" s="96"/>
      <c r="G55" s="96"/>
      <c r="H55" s="96"/>
      <c r="I55" s="4" t="s">
        <v>62</v>
      </c>
    </row>
    <row r="56" spans="1:9" ht="12.75">
      <c r="A56" s="97" t="s">
        <v>63</v>
      </c>
      <c r="B56" s="97"/>
      <c r="C56" s="97"/>
      <c r="D56" s="97"/>
      <c r="E56" s="97"/>
      <c r="F56" s="97"/>
      <c r="G56" s="97"/>
      <c r="H56" s="97"/>
      <c r="I56" s="97"/>
    </row>
    <row r="57" spans="1:9" ht="12.75">
      <c r="A57" s="98" t="s">
        <v>64</v>
      </c>
      <c r="B57" s="98"/>
      <c r="C57" s="99">
        <f>SUM(F28)</f>
        <v>85.8197025</v>
      </c>
      <c r="D57" s="100" t="s">
        <v>27</v>
      </c>
      <c r="E57" s="101"/>
      <c r="F57" s="101"/>
      <c r="G57" s="101"/>
      <c r="H57" s="102"/>
      <c r="I57" s="103"/>
    </row>
    <row r="58" spans="1:9" ht="12.75">
      <c r="A58" s="98" t="s">
        <v>64</v>
      </c>
      <c r="B58" s="98"/>
      <c r="C58" s="27">
        <v>90</v>
      </c>
      <c r="D58" s="104" t="s">
        <v>65</v>
      </c>
      <c r="E58" s="104"/>
      <c r="F58" s="104"/>
      <c r="G58" s="104"/>
      <c r="H58" s="27"/>
      <c r="I58" s="103"/>
    </row>
    <row r="59" spans="1:9" ht="12.75">
      <c r="A59" s="105" t="s">
        <v>66</v>
      </c>
      <c r="B59" s="106"/>
      <c r="C59" s="107">
        <f>SUM(C58,H58)</f>
        <v>90</v>
      </c>
      <c r="D59" s="85"/>
      <c r="E59" s="85"/>
      <c r="F59" s="85"/>
      <c r="G59" s="85"/>
      <c r="H59" s="85"/>
      <c r="I59" s="103"/>
    </row>
    <row r="60" spans="1:9" ht="12.75">
      <c r="A60" s="108" t="s">
        <v>67</v>
      </c>
      <c r="B60" s="108"/>
      <c r="C60" s="108"/>
      <c r="D60" s="108"/>
      <c r="E60" s="108"/>
      <c r="F60" s="108"/>
      <c r="G60" s="108"/>
      <c r="H60" s="108"/>
      <c r="I60" s="108"/>
    </row>
    <row r="61" spans="1:9" ht="12.75">
      <c r="A61" s="109" t="s">
        <v>68</v>
      </c>
      <c r="B61" s="82" t="s">
        <v>69</v>
      </c>
      <c r="C61" s="110">
        <f>SUM((C59/2.8284)^(1/3))*10</f>
        <v>31.6884181534411</v>
      </c>
      <c r="D61" s="82" t="s">
        <v>70</v>
      </c>
      <c r="E61" s="110">
        <f>SUM(C61*SQRT(2))</f>
        <v>44.81419072274619</v>
      </c>
      <c r="F61" s="82" t="s">
        <v>71</v>
      </c>
      <c r="G61" s="110">
        <f>SUM(C61*2)</f>
        <v>63.3768363068822</v>
      </c>
      <c r="H61" s="18" t="s">
        <v>72</v>
      </c>
      <c r="I61" s="110">
        <f>SUM(C61*E61*G61)/1000</f>
        <v>90.00086311241589</v>
      </c>
    </row>
    <row r="62" spans="1:9" ht="12.75">
      <c r="A62" s="111"/>
      <c r="B62" s="112"/>
      <c r="C62" s="113"/>
      <c r="D62" s="112"/>
      <c r="E62" s="114"/>
      <c r="F62" s="112"/>
      <c r="G62" s="113"/>
      <c r="H62" s="115"/>
      <c r="I62" s="116"/>
    </row>
    <row r="63" spans="1:9" ht="12.75">
      <c r="A63" s="117" t="s">
        <v>73</v>
      </c>
      <c r="B63" s="117"/>
      <c r="C63" s="117"/>
      <c r="D63" s="117"/>
      <c r="E63" s="117"/>
      <c r="F63" s="117"/>
      <c r="G63" s="117"/>
      <c r="H63" s="117"/>
      <c r="I63" s="117"/>
    </row>
    <row r="64" spans="1:9" ht="12.75">
      <c r="A64" s="118"/>
      <c r="B64" s="85"/>
      <c r="C64" s="19" t="s">
        <v>12</v>
      </c>
      <c r="D64" s="85"/>
      <c r="E64" s="113"/>
      <c r="F64" s="113"/>
      <c r="G64" s="119"/>
      <c r="H64" s="120" t="s">
        <v>74</v>
      </c>
      <c r="I64" s="121" t="s">
        <v>75</v>
      </c>
    </row>
    <row r="65" spans="1:9" ht="12.75">
      <c r="A65" s="23" t="s">
        <v>76</v>
      </c>
      <c r="B65" s="23"/>
      <c r="C65" s="122">
        <v>16</v>
      </c>
      <c r="D65" s="123"/>
      <c r="E65" s="124" t="s">
        <v>77</v>
      </c>
      <c r="F65" s="125">
        <f>SUM(C65/2)^2*3.14</f>
        <v>200.96</v>
      </c>
      <c r="G65" s="126"/>
      <c r="H65" s="127" t="s">
        <v>78</v>
      </c>
      <c r="I65" s="128" t="s">
        <v>79</v>
      </c>
    </row>
    <row r="66" spans="1:9" ht="12.75">
      <c r="A66" s="98" t="s">
        <v>64</v>
      </c>
      <c r="B66" s="98"/>
      <c r="C66" s="129">
        <v>85</v>
      </c>
      <c r="D66" s="130"/>
      <c r="E66" s="130"/>
      <c r="F66" s="130"/>
      <c r="G66" s="131"/>
      <c r="H66" s="132" t="s">
        <v>80</v>
      </c>
      <c r="I66" s="128" t="s">
        <v>81</v>
      </c>
    </row>
    <row r="67" spans="1:9" ht="12.75">
      <c r="A67" s="23" t="s">
        <v>82</v>
      </c>
      <c r="B67" s="23"/>
      <c r="C67" s="133">
        <v>60</v>
      </c>
      <c r="D67" s="99">
        <f>SUM(F40)</f>
        <v>25.760368663594473</v>
      </c>
      <c r="E67" s="64"/>
      <c r="F67" s="64"/>
      <c r="G67" s="134"/>
      <c r="H67" s="135" t="s">
        <v>83</v>
      </c>
      <c r="I67" s="128" t="s">
        <v>84</v>
      </c>
    </row>
    <row r="68" spans="1:9" ht="12.75">
      <c r="A68" s="136" t="s">
        <v>85</v>
      </c>
      <c r="B68" s="136"/>
      <c r="C68" s="136"/>
      <c r="D68" s="136"/>
      <c r="E68" s="137">
        <f>SUM(30069*(F65/(C66*C67^2)))-(0.823*SQRT(F65))</f>
        <v>8.080397569550547</v>
      </c>
      <c r="F68" s="138" t="s">
        <v>86</v>
      </c>
      <c r="G68" s="139" t="s">
        <v>87</v>
      </c>
      <c r="H68" s="139"/>
      <c r="I68" s="139"/>
    </row>
    <row r="69" spans="1:9" ht="12.75">
      <c r="A69" s="140" t="s">
        <v>88</v>
      </c>
      <c r="B69" s="140"/>
      <c r="C69" s="140"/>
      <c r="D69" s="140"/>
      <c r="E69" s="140"/>
      <c r="F69" s="140"/>
      <c r="G69" s="140"/>
      <c r="H69" s="140"/>
      <c r="I69" s="140"/>
    </row>
    <row r="70" spans="1:9" ht="12.75">
      <c r="A70" s="96"/>
      <c r="B70" s="96"/>
      <c r="C70" s="96"/>
      <c r="D70" s="96"/>
      <c r="E70" s="96"/>
      <c r="F70" s="96"/>
      <c r="G70" s="96"/>
      <c r="H70" s="96"/>
      <c r="I70" s="141"/>
    </row>
    <row r="71" spans="1:9" ht="12.75">
      <c r="A71" s="16" t="s">
        <v>89</v>
      </c>
      <c r="B71" s="16"/>
      <c r="C71" s="16"/>
      <c r="D71" s="16"/>
      <c r="E71" s="16"/>
      <c r="F71" s="16"/>
      <c r="G71" s="16"/>
      <c r="H71" s="16"/>
      <c r="I71" s="16"/>
    </row>
    <row r="72" spans="1:9" ht="12.75">
      <c r="A72" s="142" t="s">
        <v>90</v>
      </c>
      <c r="B72" s="143"/>
      <c r="C72" s="143"/>
      <c r="D72" s="143"/>
      <c r="E72" s="143"/>
      <c r="F72" s="143"/>
      <c r="G72" s="143"/>
      <c r="H72" s="143"/>
      <c r="I72" s="143"/>
    </row>
    <row r="73" spans="1:9" ht="12.75">
      <c r="A73" s="144"/>
      <c r="B73" s="145"/>
      <c r="C73" s="145"/>
      <c r="D73" s="19" t="s">
        <v>12</v>
      </c>
      <c r="E73" s="145"/>
      <c r="F73" s="145"/>
      <c r="G73" s="145"/>
      <c r="H73" s="145"/>
      <c r="I73" s="146"/>
    </row>
    <row r="74" spans="1:9" ht="12.75">
      <c r="A74" s="147" t="s">
        <v>91</v>
      </c>
      <c r="B74" s="147"/>
      <c r="C74" s="148"/>
      <c r="D74" s="27">
        <v>4.5</v>
      </c>
      <c r="E74" s="148"/>
      <c r="F74" s="148"/>
      <c r="G74" s="148"/>
      <c r="H74" s="148"/>
      <c r="I74" s="149"/>
    </row>
    <row r="75" spans="1:9" ht="12.75">
      <c r="A75" s="150" t="s">
        <v>92</v>
      </c>
      <c r="B75" s="150"/>
      <c r="C75" s="151">
        <f>SUM(F14)</f>
        <v>0.651</v>
      </c>
      <c r="D75" s="27">
        <v>0.67</v>
      </c>
      <c r="E75" s="18"/>
      <c r="F75" s="18"/>
      <c r="G75" s="152" t="s">
        <v>93</v>
      </c>
      <c r="H75" s="152"/>
      <c r="I75" s="153" t="s">
        <v>94</v>
      </c>
    </row>
    <row r="76" spans="1:9" ht="12.75">
      <c r="A76" s="154" t="s">
        <v>95</v>
      </c>
      <c r="B76" s="154"/>
      <c r="C76" s="154"/>
      <c r="D76" s="155">
        <v>50</v>
      </c>
      <c r="E76" s="147" t="s">
        <v>50</v>
      </c>
      <c r="F76" s="131"/>
      <c r="G76" s="156" t="s">
        <v>96</v>
      </c>
      <c r="H76" s="157">
        <v>35</v>
      </c>
      <c r="I76" s="158">
        <f>SUM(20)*(LOG10((H76/D77)^4/SQRT(((H76/D77)^4-(5.7/(5.7/D74))/4)^2+((H76/D77)^4*(1/D75^1.2)))))</f>
        <v>-19.53918511109838</v>
      </c>
    </row>
    <row r="77" spans="1:9" ht="12.75">
      <c r="A77" s="159" t="s">
        <v>97</v>
      </c>
      <c r="B77" s="159"/>
      <c r="C77" s="160">
        <f>SUM(F40)</f>
        <v>25.760368663594473</v>
      </c>
      <c r="D77" s="27">
        <v>60</v>
      </c>
      <c r="E77" s="18" t="s">
        <v>50</v>
      </c>
      <c r="F77" s="30"/>
      <c r="G77" s="18"/>
      <c r="H77" s="161">
        <v>40</v>
      </c>
      <c r="I77" s="158">
        <f>SUM(20)*(LOG10((H77/D77)^4/SQRT(((H77/D77)^4-(5.7/(5.7/D74))/4)^2+((H77/D77)^4*(1/D75^1.26)))))</f>
        <v>-14.833177722691321</v>
      </c>
    </row>
    <row r="78" spans="1:9" ht="12.75">
      <c r="A78" s="162"/>
      <c r="B78" s="18"/>
      <c r="C78" s="18"/>
      <c r="D78" s="18"/>
      <c r="E78" s="18"/>
      <c r="F78" s="18"/>
      <c r="G78" s="18"/>
      <c r="H78" s="161">
        <v>45</v>
      </c>
      <c r="I78" s="158">
        <f>SUM(20)*(LOG10((H78/D77)^4/SQRT(((H78/D77)^4-(5.7/(5.7/D74))/4)^2+((H78/D77)^4*(1/D75^1.18)))))</f>
        <v>-10.644810428236953</v>
      </c>
    </row>
    <row r="79" spans="1:9" ht="12.75">
      <c r="A79" s="163" t="s">
        <v>98</v>
      </c>
      <c r="B79" s="163"/>
      <c r="C79" s="163"/>
      <c r="D79" s="163"/>
      <c r="E79" s="163"/>
      <c r="F79" s="163"/>
      <c r="G79" s="20"/>
      <c r="H79" s="161">
        <v>50</v>
      </c>
      <c r="I79" s="158">
        <f>SUM(20)*(LOG10((H79/D77)^4/SQRT(((H79/D77)^4-(5.7/(5.7/D74))/4)^2+((H79/D77)^4*(1/D75^1.18)))))</f>
        <v>-7.077932143323217</v>
      </c>
    </row>
    <row r="80" spans="1:9" ht="12.75">
      <c r="A80" s="164" t="s">
        <v>99</v>
      </c>
      <c r="B80" s="164"/>
      <c r="C80" s="164"/>
      <c r="D80" s="164"/>
      <c r="E80" s="164"/>
      <c r="F80" s="165">
        <f>SUM(20)*(LOG10((D76/D77)^4/SQRT(((D76/D77)^4-(5.7/(5.7/D74))/4)^2+((D76/D77)^4*(1/D75^1.19)))))</f>
        <v>-7.0892777707711065</v>
      </c>
      <c r="G80" s="20"/>
      <c r="H80" s="161">
        <v>55</v>
      </c>
      <c r="I80" s="158">
        <f>SUM(20)*(LOG10((H80/D77)^4/SQRT(((H80/D77)^4-(5.7/(5.7/D74))/4)^2+((H80/D77)^4*(1/D75^1.22)))))</f>
        <v>-4.249819777078093</v>
      </c>
    </row>
    <row r="81" spans="1:9" ht="12.75">
      <c r="A81" s="162"/>
      <c r="B81" s="18"/>
      <c r="C81" s="3" t="s">
        <v>100</v>
      </c>
      <c r="D81" s="3"/>
      <c r="E81" s="3"/>
      <c r="F81" s="166"/>
      <c r="G81" s="20"/>
      <c r="H81" s="161">
        <v>60</v>
      </c>
      <c r="I81" s="158">
        <f>SUM(20)*(LOG10((H81/D77)^4/SQRT(((H81/D77)^4-(5.7/(5.7/D74))/4)^2+((H81/D77)^4*(1/D75^1.28)))))</f>
        <v>-2.2666960010802293</v>
      </c>
    </row>
    <row r="82" spans="1:9" ht="12.75">
      <c r="A82" s="38"/>
      <c r="B82" s="20"/>
      <c r="C82" s="20"/>
      <c r="D82" s="20"/>
      <c r="E82" s="20"/>
      <c r="F82" s="20"/>
      <c r="G82" s="20"/>
      <c r="H82" s="161">
        <v>65</v>
      </c>
      <c r="I82" s="158">
        <f>SUM(20)*(LOG10((H82/D77)^4/SQRT(((H82/D77)^4-(5.7/(5.7/D74))/4)^2+((H82/D77)^4*(1/D75^1.29)))))</f>
        <v>-0.9713193855654144</v>
      </c>
    </row>
    <row r="83" spans="1:9" ht="12.75">
      <c r="A83" s="38"/>
      <c r="B83" s="20"/>
      <c r="C83" s="20"/>
      <c r="D83" s="20"/>
      <c r="E83" s="20"/>
      <c r="F83" s="20"/>
      <c r="G83" s="20"/>
      <c r="H83" s="161">
        <v>70</v>
      </c>
      <c r="I83" s="158">
        <f>(20)*SUM(LOG10((H83/D77)^4/SQRT(((H83/D77)^4-(5.7/(5.7/D74))/4)^2+((H83/D77)^4*(1/D75^1.33)))))</f>
        <v>-0.30889433395072113</v>
      </c>
    </row>
    <row r="84" spans="1:9" ht="12.75">
      <c r="A84" s="38"/>
      <c r="B84" s="20"/>
      <c r="C84" s="20"/>
      <c r="D84" s="20"/>
      <c r="E84" s="20"/>
      <c r="F84" s="20"/>
      <c r="G84" s="20"/>
      <c r="H84" s="161">
        <v>75</v>
      </c>
      <c r="I84" s="158">
        <f>SUM(20)*(LOG10((H84/D77)^4/SQRT(((H84/D77)^4-(5.7/(5.7/D74))/4)^2+((H84/D77)^4*(1/D75^1.37)))))</f>
        <v>0.00120608220599083</v>
      </c>
    </row>
    <row r="85" spans="1:9" ht="12.75">
      <c r="A85" s="38"/>
      <c r="B85" s="20"/>
      <c r="C85" s="20"/>
      <c r="D85" s="20"/>
      <c r="E85" s="20"/>
      <c r="F85" s="20"/>
      <c r="G85" s="20"/>
      <c r="H85" s="161">
        <v>80</v>
      </c>
      <c r="I85" s="158">
        <f>SUM(20)*(LOG10((H85/D77)^4/SQRT(((H85/D77)^4-(5.7/(5.7/D74))/4)^2+((H85/D77)^4*(1/D75^1.4)))))</f>
        <v>0.13637886666062415</v>
      </c>
    </row>
    <row r="86" spans="1:9" ht="12.75">
      <c r="A86" s="38"/>
      <c r="B86" s="20"/>
      <c r="C86" s="20"/>
      <c r="D86" s="20"/>
      <c r="E86" s="20"/>
      <c r="F86" s="20"/>
      <c r="G86" s="20"/>
      <c r="H86" s="161">
        <v>85</v>
      </c>
      <c r="I86" s="158">
        <f>SUM(20)*(LOG10((H86/D77)^4/SQRT(((H86/D77)^4-(5.7/(5.7/D74))/4)^2+((H86/D77)^4*(1/D75^1.44)))))</f>
        <v>0.17115310328437638</v>
      </c>
    </row>
    <row r="87" spans="1:9" ht="12.75">
      <c r="A87" s="38"/>
      <c r="B87" s="20"/>
      <c r="C87" s="20"/>
      <c r="D87" s="20"/>
      <c r="E87" s="20"/>
      <c r="F87" s="20"/>
      <c r="G87" s="20"/>
      <c r="H87" s="161">
        <v>90</v>
      </c>
      <c r="I87" s="158">
        <f>SUM(20)*(LOG10((H87/D77)^4/SQRT(((H87/D77)^4-(5.7/(5.7/D74))/4)^2+((H87/D77)^4*(1/D75^1.48)))))</f>
        <v>0.1671320013526724</v>
      </c>
    </row>
    <row r="88" spans="1:9" ht="12.75">
      <c r="A88" s="38"/>
      <c r="B88" s="20"/>
      <c r="C88" s="20"/>
      <c r="D88" s="20"/>
      <c r="E88" s="20"/>
      <c r="F88" s="20"/>
      <c r="G88" s="20"/>
      <c r="H88" s="161">
        <v>95</v>
      </c>
      <c r="I88" s="158">
        <f>SUM(20)*(LOG10((H88/D77)^4/SQRT(((H88/D77)^4-(5.7/(5.7/D74))/4)^2+((H88/D77)^4*(1/D75^1.5)))))</f>
        <v>0.15847278811132137</v>
      </c>
    </row>
    <row r="89" spans="1:9" ht="12.75">
      <c r="A89" s="38"/>
      <c r="B89" s="20"/>
      <c r="C89" s="20"/>
      <c r="D89" s="20"/>
      <c r="E89" s="20"/>
      <c r="F89" s="20"/>
      <c r="G89" s="20"/>
      <c r="H89" s="161">
        <v>100</v>
      </c>
      <c r="I89" s="158">
        <f>SUM(20)*(LOG10((H89/D77)^4/SQRT(((H89/D77)^4-(5.7/(5.7/D74))/4)^2+((H89/D77)^4*(1/D75^1.55)))))</f>
        <v>0.12891207703580324</v>
      </c>
    </row>
    <row r="90" spans="1:9" ht="12.75">
      <c r="A90" s="38"/>
      <c r="B90" s="20"/>
      <c r="C90" s="20"/>
      <c r="D90" s="20"/>
      <c r="E90" s="20"/>
      <c r="F90" s="20"/>
      <c r="G90" s="20"/>
      <c r="H90" s="161">
        <v>105</v>
      </c>
      <c r="I90" s="158">
        <f>SUM(20)*(LOG10((H90/D77)^4/SQRT(((H90/D77)^4-(5.7/(5.7/D74))/4)^2+((H90/D77)^4*(1/D75^1.6)))))</f>
        <v>0.10172308787994866</v>
      </c>
    </row>
    <row r="91" spans="1:9" ht="12.75">
      <c r="A91" s="38"/>
      <c r="B91" s="20"/>
      <c r="C91" s="20"/>
      <c r="D91" s="20"/>
      <c r="E91" s="20"/>
      <c r="F91" s="20"/>
      <c r="G91" s="20"/>
      <c r="H91" s="161">
        <v>110</v>
      </c>
      <c r="I91" s="158">
        <f>SUM(20)*(LOG10((H91/D77)^4/SQRT(((H91/D77)^4-(5.7/(5.7/D74))/4)^2+((H91/D77)^4*(1/D75^1.66)))))</f>
        <v>0.0751809377890593</v>
      </c>
    </row>
    <row r="92" spans="1:9" ht="12.75">
      <c r="A92" s="38"/>
      <c r="B92" s="20"/>
      <c r="C92" s="20"/>
      <c r="D92" s="20"/>
      <c r="E92" s="20"/>
      <c r="F92" s="20"/>
      <c r="G92" s="20"/>
      <c r="H92" s="161">
        <v>120</v>
      </c>
      <c r="I92" s="158">
        <f>SUM(20)*(LOG10((H92/D77)^4/SQRT(((H92/D77)^4-(5.7/(5.7/D74))/4)^2+((H92/D77)^4*(1/D75^1.69)))))</f>
        <v>0.055539716694900244</v>
      </c>
    </row>
    <row r="93" spans="1:9" ht="12.75">
      <c r="A93" s="38"/>
      <c r="B93" s="20"/>
      <c r="C93" s="20"/>
      <c r="D93" s="20"/>
      <c r="E93" s="20"/>
      <c r="F93" s="20"/>
      <c r="G93" s="20"/>
      <c r="H93" s="161">
        <v>130</v>
      </c>
      <c r="I93" s="158">
        <f>SUM(20)*(LOG10((H93/D77)^4/SQRT(((H93/D77)^4-(5.7/(5.7/D74))/4)^2+((H93/D77)^4*(1/D75^1.8)))))</f>
        <v>0.02695770054360052</v>
      </c>
    </row>
    <row r="94" spans="1:9" ht="12.75">
      <c r="A94" s="38"/>
      <c r="B94" s="20"/>
      <c r="C94" s="20"/>
      <c r="D94" s="20"/>
      <c r="E94" s="20"/>
      <c r="F94" s="20"/>
      <c r="G94" s="20"/>
      <c r="H94" s="161">
        <v>140</v>
      </c>
      <c r="I94" s="158">
        <f>SUM(20)*(LOG10((H94/D77)^4/SQRT(((H94/D77)^4-(5.7/(5.7/D74))/4)^2+((H94/D77)^4*(1/D75^1.83)))))</f>
        <v>0.018536826166429096</v>
      </c>
    </row>
    <row r="95" spans="1:9" ht="12.75">
      <c r="A95" s="38"/>
      <c r="B95" s="20"/>
      <c r="C95" s="20"/>
      <c r="D95" s="20"/>
      <c r="E95" s="20"/>
      <c r="F95" s="20"/>
      <c r="G95" s="20"/>
      <c r="H95" s="161">
        <v>150</v>
      </c>
      <c r="I95" s="158">
        <f>SUM(20)*(LOG10((H95/D77)^4/SQRT(((H95/D77)^4-(5.7/(5.7/D74))/4)^2+((H95/D77)^4*(1/D75^1.97)))))</f>
        <v>0.001838869612478957</v>
      </c>
    </row>
    <row r="96" spans="1:9" ht="12.75">
      <c r="A96" s="38"/>
      <c r="B96" s="20"/>
      <c r="C96" s="20"/>
      <c r="D96" s="20"/>
      <c r="E96" s="20"/>
      <c r="F96" s="20"/>
      <c r="G96" s="20"/>
      <c r="H96" s="161">
        <v>160</v>
      </c>
      <c r="I96" s="158">
        <f>SUM(20)*(LOG10((H96/D77)^4/SQRT(((H96/D77)^4-(5.7/(5.7/D74))/4)^2+((H96/D77)^4*(1/D75^2.1)))))</f>
        <v>-0.008041496773582886</v>
      </c>
    </row>
    <row r="97" spans="1:9" ht="12.75">
      <c r="A97" s="38"/>
      <c r="B97" s="20"/>
      <c r="C97" s="20"/>
      <c r="D97" s="20"/>
      <c r="E97" s="20"/>
      <c r="F97" s="20"/>
      <c r="G97" s="20"/>
      <c r="H97" s="161">
        <v>170</v>
      </c>
      <c r="I97" s="158">
        <f>SUM(20)*(LOG10((H97/D77)^4/SQRT(((H97/D77)^4-(5.7/(5.7/D74))/4)^2+((H97/D77)^4*(1/D75^2.2)))))</f>
        <v>-0.012319734626048347</v>
      </c>
    </row>
    <row r="98" spans="1:9" ht="12.75">
      <c r="A98" s="38"/>
      <c r="B98" s="20"/>
      <c r="C98" s="20"/>
      <c r="D98" s="20"/>
      <c r="E98" s="20"/>
      <c r="F98" s="20"/>
      <c r="G98" s="20"/>
      <c r="H98" s="161">
        <v>180</v>
      </c>
      <c r="I98" s="158">
        <f>SUM(20)*(LOG10((H98/D77)^4/SQRT(((H98/D77)^4-(5.7/(5.7/D74))/4)^2+((H98/D77)^4*(1/D75^2.3)))))</f>
        <v>-0.014862429038654526</v>
      </c>
    </row>
    <row r="99" spans="1:9" ht="12.75">
      <c r="A99" s="38"/>
      <c r="B99" s="20"/>
      <c r="C99" s="20"/>
      <c r="D99" s="20"/>
      <c r="E99" s="20"/>
      <c r="F99" s="20"/>
      <c r="G99" s="20"/>
      <c r="H99" s="161">
        <v>190</v>
      </c>
      <c r="I99" s="158">
        <f>SUM(20)*(LOG10((H99/D77)^4/SQRT(((H99/D77)^4-(5.7/(5.7/D74))/4)^2+((H99/D77)^4*(1/D75^2.4)))))</f>
        <v>-0.016263827578545914</v>
      </c>
    </row>
    <row r="100" spans="1:9" ht="12.75">
      <c r="A100" s="38"/>
      <c r="B100" s="20"/>
      <c r="C100" s="20"/>
      <c r="D100" s="20"/>
      <c r="E100" s="20"/>
      <c r="F100" s="20"/>
      <c r="G100" s="20"/>
      <c r="H100" s="161">
        <v>200</v>
      </c>
      <c r="I100" s="158">
        <f>SUM(20)*(LOG10((H100/D77)^4/SQRT(((H100/D77)^4-(5.7/(5.7/D74))/4)^2+((H100/D77)^4*(1/D75^2.5)))))</f>
        <v>-0.016915028355033224</v>
      </c>
    </row>
    <row r="101" spans="1:9" ht="12.75">
      <c r="A101" s="38"/>
      <c r="B101" s="20"/>
      <c r="C101" s="20"/>
      <c r="D101" s="20"/>
      <c r="E101" s="20"/>
      <c r="F101" s="20"/>
      <c r="G101" s="20"/>
      <c r="H101" s="161">
        <v>300</v>
      </c>
      <c r="I101" s="158">
        <f>SUM(20)*(LOG10((H101/D77)^4/SQRT(((H101/D77)^4-(5.7/(5.7/D74))/4)^2+((H101/D77)^4*(1/D75^3.5)))))</f>
        <v>-0.012586767238255882</v>
      </c>
    </row>
    <row r="102" spans="1:9" ht="12.75">
      <c r="A102" s="38"/>
      <c r="B102" s="20"/>
      <c r="C102" s="20"/>
      <c r="D102" s="20"/>
      <c r="E102" s="20"/>
      <c r="F102" s="20"/>
      <c r="G102" s="20"/>
      <c r="H102" s="161">
        <v>400</v>
      </c>
      <c r="I102" s="158">
        <f>SUM(20)*(LOG10((H102/D77)^4/SQRT(((H102/D77)^4-(5.7/(5.7/D74))/4)^2+((H102/D77)^4*(1/D75^3.6)))))</f>
        <v>-0.004348002164515319</v>
      </c>
    </row>
    <row r="103" spans="1:9" ht="12.75">
      <c r="A103" s="38"/>
      <c r="B103" s="20"/>
      <c r="C103" s="20"/>
      <c r="D103" s="20"/>
      <c r="E103" s="20"/>
      <c r="F103" s="20"/>
      <c r="G103" s="20"/>
      <c r="H103" s="161">
        <v>500</v>
      </c>
      <c r="I103" s="158">
        <f>SUM(20)*(LOG10((H103/D77)^4/SQRT(((H103/D77)^4-(5.7/(5.7/D74))/4)^2+((H103/D77)^4*(1/D75^4)))))</f>
        <v>-0.0024423023718539417</v>
      </c>
    </row>
    <row r="104" spans="1:9" ht="12.75">
      <c r="A104" s="38"/>
      <c r="B104" s="20"/>
      <c r="C104" s="20"/>
      <c r="D104" s="20"/>
      <c r="E104" s="20"/>
      <c r="F104" s="20"/>
      <c r="G104" s="20"/>
      <c r="H104" s="167">
        <v>2000</v>
      </c>
      <c r="I104" s="158">
        <f>SUM(20)*(LOG10((H104/D77)^4/SQRT(((H104/D77)^4-(5.7/(5.7/D74))/4)^2+((H104/D77)^4*(1/D75^6)))))</f>
        <v>-3.0973315516212884E-05</v>
      </c>
    </row>
    <row r="105" spans="1:9" ht="12.75">
      <c r="A105" s="168"/>
      <c r="B105" s="169"/>
      <c r="C105" s="169"/>
      <c r="D105" s="169"/>
      <c r="E105" s="169"/>
      <c r="F105" s="169"/>
      <c r="G105" s="169"/>
      <c r="H105" s="170"/>
      <c r="I105" s="171"/>
    </row>
  </sheetData>
  <sheetProtection selectLockedCells="1" selectUnlockedCells="1"/>
  <mergeCells count="65">
    <mergeCell ref="B1:D1"/>
    <mergeCell ref="E1:H1"/>
    <mergeCell ref="A2:I2"/>
    <mergeCell ref="A3:I3"/>
    <mergeCell ref="A4:I4"/>
    <mergeCell ref="A5:I5"/>
    <mergeCell ref="B6:E6"/>
    <mergeCell ref="H6:I6"/>
    <mergeCell ref="B7:I7"/>
    <mergeCell ref="A8:I8"/>
    <mergeCell ref="A10:C10"/>
    <mergeCell ref="A11:C11"/>
    <mergeCell ref="A12:C12"/>
    <mergeCell ref="A13:C13"/>
    <mergeCell ref="A14:E14"/>
    <mergeCell ref="A15:C15"/>
    <mergeCell ref="E15:I15"/>
    <mergeCell ref="A17:I17"/>
    <mergeCell ref="A19:C19"/>
    <mergeCell ref="A21:C21"/>
    <mergeCell ref="E21:G21"/>
    <mergeCell ref="A22:E22"/>
    <mergeCell ref="A23:E23"/>
    <mergeCell ref="A25:C25"/>
    <mergeCell ref="A26:C26"/>
    <mergeCell ref="A28:E28"/>
    <mergeCell ref="D29:E29"/>
    <mergeCell ref="A30:F30"/>
    <mergeCell ref="A31:I31"/>
    <mergeCell ref="A33:I33"/>
    <mergeCell ref="A34:I34"/>
    <mergeCell ref="A36:C36"/>
    <mergeCell ref="A38:C38"/>
    <mergeCell ref="A40:D40"/>
    <mergeCell ref="H40:I40"/>
    <mergeCell ref="A42:I42"/>
    <mergeCell ref="A43:C43"/>
    <mergeCell ref="E43:F43"/>
    <mergeCell ref="A44:E44"/>
    <mergeCell ref="A45:I45"/>
    <mergeCell ref="A46:C46"/>
    <mergeCell ref="A47:C47"/>
    <mergeCell ref="A48:I48"/>
    <mergeCell ref="A56:I56"/>
    <mergeCell ref="A57:B57"/>
    <mergeCell ref="A58:B58"/>
    <mergeCell ref="D58:G58"/>
    <mergeCell ref="A60:I60"/>
    <mergeCell ref="A63:I63"/>
    <mergeCell ref="A65:B65"/>
    <mergeCell ref="A66:B66"/>
    <mergeCell ref="A67:B67"/>
    <mergeCell ref="A68:D68"/>
    <mergeCell ref="G68:I68"/>
    <mergeCell ref="A69:I69"/>
    <mergeCell ref="A71:I71"/>
    <mergeCell ref="B72:I72"/>
    <mergeCell ref="A74:B74"/>
    <mergeCell ref="A75:B75"/>
    <mergeCell ref="G75:H75"/>
    <mergeCell ref="A76:C76"/>
    <mergeCell ref="A77:B77"/>
    <mergeCell ref="A79:F79"/>
    <mergeCell ref="A80:E80"/>
    <mergeCell ref="C81:E81"/>
  </mergeCells>
  <hyperlinks>
    <hyperlink ref="E1" r:id="rId1" display="Programma Win ISD di calcolo"/>
    <hyperlink ref="C81" r:id="rId2" display="Programma Abacus2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Marino</dc:creator>
  <cp:keywords/>
  <dc:description/>
  <cp:lastModifiedBy>Luca </cp:lastModifiedBy>
  <dcterms:created xsi:type="dcterms:W3CDTF">2002-12-11T12:30:58Z</dcterms:created>
  <dcterms:modified xsi:type="dcterms:W3CDTF">2012-03-28T14:14:27Z</dcterms:modified>
  <cp:category/>
  <cp:version/>
  <cp:contentType/>
  <cp:contentStatus/>
  <cp:revision>3</cp:revision>
</cp:coreProperties>
</file>